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codeName="DieseArbeitsmappe"/>
  <mc:AlternateContent xmlns:mc="http://schemas.openxmlformats.org/markup-compatibility/2006">
    <mc:Choice Requires="x15">
      <x15ac:absPath xmlns:x15ac="http://schemas.microsoft.com/office/spreadsheetml/2010/11/ac" url="\\adb.intra.admin.ch\Userhome$\SECO-01\U80842674\config\Desktop\paam\2023\"/>
    </mc:Choice>
  </mc:AlternateContent>
  <xr:revisionPtr revIDLastSave="0" documentId="8_{5D0490DF-D8C9-4CF4-A1C3-BE522F67E2CD}" xr6:coauthVersionLast="47" xr6:coauthVersionMax="47" xr10:uidLastSave="{00000000-0000-0000-0000-000000000000}"/>
  <bookViews>
    <workbookView xWindow="28680" yWindow="-120" windowWidth="29040" windowHeight="15840" tabRatio="595"/>
  </bookViews>
  <sheets>
    <sheet name="Tabella di calcolo" sheetId="16" r:id="rId1"/>
    <sheet name="Tabella di calcolo (Esempio)" sheetId="14" r:id="rId2"/>
    <sheet name="TC pseudo-indipendenza" sheetId="17" r:id="rId3"/>
    <sheet name="SECO Direttiva" sheetId="15" r:id="rId4"/>
  </sheets>
  <definedNames>
    <definedName name="_xlnm._FilterDatabase" localSheetId="0" hidden="1">'Tabella di calcolo'!$C$2:$I$2</definedName>
    <definedName name="_xlnm._FilterDatabase" localSheetId="1" hidden="1">'Tabella di calcolo (Esempio)'!$C$2:$I$2</definedName>
    <definedName name="_Toc373740136" localSheetId="3">'SECO Direttiva'!$A$59</definedName>
    <definedName name="_xlnm.Print_Area" localSheetId="0">'Tabella di calcolo'!$A$1:$K$62</definedName>
    <definedName name="_xlnm.Print_Area" localSheetId="1">'Tabella di calcolo (Esempio)'!$A$1:$K$62</definedName>
    <definedName name="_xlnm.Print_Area" localSheetId="2">'TC pseudo-indipendenza'!$A$1:$K$51</definedName>
    <definedName name="_xlnm.Print_Titles" localSheetId="0">'Tabella di calcolo'!$2:$2</definedName>
    <definedName name="_xlnm.Print_Titles" localSheetId="1">'Tabella di calcolo (Esempio)'!$2:$2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0" i="14" l="1"/>
  <c r="G40" i="14"/>
  <c r="H22" i="14"/>
  <c r="G22" i="14"/>
  <c r="H22" i="16"/>
  <c r="G22" i="16"/>
  <c r="H40" i="16"/>
  <c r="G40" i="16"/>
  <c r="K32" i="17"/>
  <c r="J32" i="17"/>
  <c r="K31" i="17"/>
  <c r="J31" i="17"/>
  <c r="K30" i="17"/>
  <c r="J30" i="17"/>
  <c r="J33" i="17"/>
  <c r="D30" i="17"/>
  <c r="A30" i="17"/>
  <c r="B30" i="17"/>
  <c r="J29" i="17"/>
  <c r="K29" i="17"/>
  <c r="K28" i="17"/>
  <c r="J28" i="17"/>
  <c r="J27" i="17"/>
  <c r="J26" i="17"/>
  <c r="K26" i="17"/>
  <c r="I22" i="17"/>
  <c r="I21" i="17"/>
  <c r="I23" i="17"/>
  <c r="A15" i="17"/>
  <c r="F28" i="17"/>
  <c r="H9" i="17"/>
  <c r="H12" i="17"/>
  <c r="G12" i="17"/>
  <c r="F44" i="16"/>
  <c r="H43" i="16"/>
  <c r="G43" i="16"/>
  <c r="F41" i="16"/>
  <c r="F40" i="16"/>
  <c r="D40" i="16"/>
  <c r="A40" i="16"/>
  <c r="B40" i="16"/>
  <c r="H39" i="16"/>
  <c r="G39" i="16"/>
  <c r="F39" i="16"/>
  <c r="F38" i="16"/>
  <c r="F37" i="16"/>
  <c r="F36" i="16"/>
  <c r="F35" i="16"/>
  <c r="F34" i="16"/>
  <c r="F33" i="16"/>
  <c r="H32" i="16"/>
  <c r="G32" i="16"/>
  <c r="F32" i="16"/>
  <c r="L31" i="16"/>
  <c r="H31" i="16"/>
  <c r="G31" i="16"/>
  <c r="A31" i="16"/>
  <c r="D31" i="16"/>
  <c r="L30" i="16"/>
  <c r="J30" i="16"/>
  <c r="J31" i="16"/>
  <c r="H30" i="16"/>
  <c r="H33" i="16"/>
  <c r="G30" i="16"/>
  <c r="F30" i="16"/>
  <c r="L29" i="16"/>
  <c r="I29" i="16"/>
  <c r="G29" i="16"/>
  <c r="L28" i="16"/>
  <c r="F28" i="16"/>
  <c r="H21" i="16"/>
  <c r="G21" i="16"/>
  <c r="D19" i="16"/>
  <c r="A19" i="16"/>
  <c r="F31" i="16"/>
  <c r="H14" i="16"/>
  <c r="G14" i="16"/>
  <c r="J13" i="16"/>
  <c r="J15" i="16"/>
  <c r="I13" i="16"/>
  <c r="I23" i="16"/>
  <c r="H26" i="16"/>
  <c r="H47" i="16"/>
  <c r="H13" i="16"/>
  <c r="G13" i="16"/>
  <c r="H15" i="16"/>
  <c r="G15" i="16"/>
  <c r="J16" i="16"/>
  <c r="I16" i="16"/>
  <c r="I30" i="16"/>
  <c r="J33" i="16"/>
  <c r="I33" i="16"/>
  <c r="H35" i="16"/>
  <c r="G35" i="16"/>
  <c r="H37" i="16"/>
  <c r="G37" i="16"/>
  <c r="J34" i="16"/>
  <c r="I34" i="16"/>
  <c r="H36" i="16"/>
  <c r="G36" i="16"/>
  <c r="F28" i="14"/>
  <c r="H38" i="16"/>
  <c r="G38" i="16"/>
  <c r="F44" i="14"/>
  <c r="H43" i="14"/>
  <c r="G43" i="14"/>
  <c r="F41" i="14"/>
  <c r="F40" i="14"/>
  <c r="D40" i="14"/>
  <c r="A40" i="14"/>
  <c r="B40" i="14"/>
  <c r="H39" i="14"/>
  <c r="G39" i="14"/>
  <c r="F39" i="14"/>
  <c r="F38" i="14"/>
  <c r="F37" i="14"/>
  <c r="F36" i="14"/>
  <c r="F35" i="14"/>
  <c r="F34" i="14"/>
  <c r="F33" i="14"/>
  <c r="H32" i="14"/>
  <c r="H34" i="14"/>
  <c r="G34" i="14"/>
  <c r="G32" i="14"/>
  <c r="F32" i="14"/>
  <c r="L31" i="14"/>
  <c r="H31" i="14"/>
  <c r="G31" i="14"/>
  <c r="A31" i="14"/>
  <c r="D31" i="14"/>
  <c r="L30" i="14"/>
  <c r="J30" i="14"/>
  <c r="H30" i="14"/>
  <c r="F30" i="14"/>
  <c r="L29" i="14"/>
  <c r="I29" i="14"/>
  <c r="G29" i="14"/>
  <c r="L28" i="14"/>
  <c r="H21" i="14"/>
  <c r="G21" i="14"/>
  <c r="D19" i="14"/>
  <c r="A19" i="14"/>
  <c r="F31" i="14"/>
  <c r="H14" i="14"/>
  <c r="J13" i="14"/>
  <c r="H13" i="14"/>
  <c r="I13" i="14"/>
  <c r="I23" i="14"/>
  <c r="J16" i="14"/>
  <c r="J18" i="14"/>
  <c r="I18" i="14"/>
  <c r="I16" i="14"/>
  <c r="J15" i="14"/>
  <c r="I15" i="14"/>
  <c r="G13" i="14"/>
  <c r="K27" i="17"/>
  <c r="K33" i="17"/>
  <c r="K37" i="17"/>
  <c r="J33" i="14"/>
  <c r="I33" i="14"/>
  <c r="I31" i="16"/>
  <c r="I41" i="16"/>
  <c r="J36" i="16"/>
  <c r="I36" i="16"/>
  <c r="G41" i="16"/>
  <c r="G33" i="16"/>
  <c r="H34" i="16"/>
  <c r="G34" i="16"/>
  <c r="J35" i="16"/>
  <c r="I35" i="16"/>
  <c r="G44" i="16"/>
  <c r="H41" i="16"/>
  <c r="H44" i="16"/>
  <c r="J41" i="16"/>
  <c r="G30" i="14"/>
  <c r="J17" i="16"/>
  <c r="I17" i="16"/>
  <c r="I15" i="16"/>
  <c r="H20" i="16"/>
  <c r="G20" i="16"/>
  <c r="I30" i="14"/>
  <c r="I41" i="14"/>
  <c r="J31" i="14"/>
  <c r="I31" i="14"/>
  <c r="H17" i="14"/>
  <c r="G17" i="14"/>
  <c r="H16" i="14"/>
  <c r="G16" i="14"/>
  <c r="H33" i="14"/>
  <c r="H35" i="14"/>
  <c r="G35" i="14"/>
  <c r="J18" i="16"/>
  <c r="I18" i="16"/>
  <c r="J17" i="14"/>
  <c r="H16" i="16"/>
  <c r="G16" i="16"/>
  <c r="H15" i="14"/>
  <c r="H38" i="14"/>
  <c r="G38" i="14"/>
  <c r="H18" i="16"/>
  <c r="G18" i="16"/>
  <c r="H11" i="17"/>
  <c r="H10" i="17"/>
  <c r="G10" i="17"/>
  <c r="G14" i="14"/>
  <c r="J34" i="14"/>
  <c r="I34" i="14"/>
  <c r="H19" i="14"/>
  <c r="G19" i="14"/>
  <c r="G9" i="17"/>
  <c r="G15" i="17"/>
  <c r="J23" i="16"/>
  <c r="H37" i="14"/>
  <c r="G37" i="14"/>
  <c r="G15" i="14"/>
  <c r="H20" i="14"/>
  <c r="G20" i="14"/>
  <c r="H17" i="16"/>
  <c r="I17" i="14"/>
  <c r="J23" i="14"/>
  <c r="J35" i="14"/>
  <c r="G33" i="14"/>
  <c r="J36" i="14"/>
  <c r="I36" i="14"/>
  <c r="G11" i="17"/>
  <c r="H14" i="17"/>
  <c r="G14" i="17"/>
  <c r="H13" i="17"/>
  <c r="H19" i="16"/>
  <c r="G19" i="16"/>
  <c r="H36" i="14"/>
  <c r="G36" i="14"/>
  <c r="H18" i="14"/>
  <c r="G18" i="14"/>
  <c r="I35" i="14"/>
  <c r="J41" i="14"/>
  <c r="G13" i="17"/>
  <c r="H15" i="17"/>
  <c r="G17" i="16"/>
  <c r="H23" i="16"/>
  <c r="H21" i="17"/>
  <c r="K21" i="17"/>
  <c r="H22" i="17"/>
  <c r="K22" i="17"/>
  <c r="K23" i="17"/>
  <c r="G22" i="17"/>
  <c r="J22" i="17"/>
  <c r="G21" i="17"/>
  <c r="J21" i="17"/>
  <c r="G23" i="14"/>
  <c r="G26" i="14"/>
  <c r="H41" i="14"/>
  <c r="H44" i="14"/>
  <c r="G41" i="14"/>
  <c r="G44" i="14"/>
  <c r="H23" i="14"/>
  <c r="H26" i="14"/>
  <c r="G23" i="16"/>
  <c r="G26" i="16"/>
  <c r="G47" i="16"/>
  <c r="J23" i="17"/>
  <c r="J37" i="17"/>
  <c r="G47" i="14"/>
  <c r="H47" i="14"/>
</calcChain>
</file>

<file path=xl/comments1.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Il salario di base viene ripreso direttamente nella tabella di calcolo.</t>
        </r>
      </text>
    </comment>
    <comment ref="D14" authorId="0" shapeId="0">
      <text>
        <r>
          <rPr>
            <sz val="9"/>
            <color indexed="81"/>
            <rFont val="Tahoma"/>
            <family val="2"/>
          </rPr>
          <t xml:space="preserve">Selezionare qui per indicare il salario di base in
- euro all'ora o in
- euro al mese.
</t>
        </r>
      </text>
    </comment>
    <comment ref="H14" authorId="0" shapeId="0">
      <text>
        <r>
          <rPr>
            <sz val="9"/>
            <color indexed="81"/>
            <rFont val="Tahoma"/>
            <family val="2"/>
          </rPr>
          <t>La conversione dell'importo mensile in un importo a ore avviene in modo analogo alla conversione del salario mensile lordo in un salario orario. (vedi sotto "Calcoli")</t>
        </r>
      </text>
    </comment>
    <comment ref="H15" authorId="0" shapeId="0">
      <text>
        <r>
          <rPr>
            <sz val="9"/>
            <color indexed="81"/>
            <rFont val="Tahoma"/>
            <family val="2"/>
          </rPr>
          <t xml:space="preserve">L'indennità di vacanza deve essere calcolata sulla base dell'importo che risulta dalla somma del salario di base e del compenso sotto forma di capitale. </t>
        </r>
      </text>
    </comment>
    <comment ref="H16" authorId="0" shapeId="0">
      <text>
        <r>
          <rPr>
            <sz val="9"/>
            <color indexed="81"/>
            <rFont val="Tahoma"/>
            <family val="2"/>
          </rPr>
          <t xml:space="preserve">L'indennità festiva deve essere calcolata sulla base dell'importo che risulta dalla somma del salario di base e del compenso sotta forma di capitale. </t>
        </r>
      </text>
    </comment>
    <comment ref="H17" authorId="0" shapeId="0">
      <text>
        <r>
          <rPr>
            <sz val="9"/>
            <color indexed="81"/>
            <rFont val="Tahoma"/>
            <family val="2"/>
          </rPr>
          <t>Una mensilità supplementare deve essere calcolata sulla base dell'importo che risulta dalla somma del salario di base, del compenso sotto forma die capitale e dell'indennità di vacanze/festiva.</t>
        </r>
      </text>
    </comment>
    <comment ref="A18" authorId="0" shapeId="0">
      <text>
        <r>
          <rPr>
            <sz val="9"/>
            <color indexed="81"/>
            <rFont val="Tahoma"/>
            <family val="2"/>
          </rPr>
          <t xml:space="preserve">Se una parte dell'impiego si svolge di notte, di sabato o di domenica, indicare qui se si tratta di un
- lavoro notturno, di un
- lavoro di sabato o di un 
- lavoro domenicale.
</t>
        </r>
      </text>
    </comment>
    <comment ref="C18" authorId="0" shapeId="0">
      <text>
        <r>
          <rPr>
            <sz val="9"/>
            <color indexed="81"/>
            <rFont val="Tahoma"/>
            <family val="2"/>
          </rPr>
          <t xml:space="preserve">Se una parte dell'impiego si svolge di notte, di sabato o di domenica, indicare qui il numero di ore.
</t>
        </r>
      </text>
    </comment>
    <comment ref="H18" authorId="0" shapeId="0">
      <text>
        <r>
          <rPr>
            <sz val="9"/>
            <color indexed="81"/>
            <rFont val="Tahoma"/>
            <family val="2"/>
          </rPr>
          <t>Una mensilità supplementare deve essere calcolata sulla base dell'importo che risulta dalla somma del salario di base, del compenso sotto forma die capitale e dell'indennità di vacanze/festiva.</t>
        </r>
      </text>
    </comment>
    <comment ref="H19" authorId="0" shapeId="0">
      <text>
        <r>
          <rPr>
            <sz val="9"/>
            <color indexed="81"/>
            <rFont val="Tahoma"/>
            <family val="2"/>
          </rPr>
          <t>L'assegno per ferie deve essere calcolato sulla base dell'importo che risulta dalla somma del salario di base, del compenso sotto forma di capitale e dell'indennità di vacanze/festiva</t>
        </r>
      </text>
    </comment>
    <comment ref="H20" authorId="0" shapeId="0">
      <text>
        <r>
          <rPr>
            <sz val="9"/>
            <color indexed="81"/>
            <rFont val="Tahoma"/>
            <family val="2"/>
          </rPr>
          <t>La gratifica natalizia deve essere calcolata sulla base dell'importo che risulta dalla somma del salario di base, del compenso sotto forma di capitale e dell'indennità di vacanze/festiva.</t>
        </r>
      </text>
    </comment>
    <comment ref="H21" authorId="1" shapeId="0">
      <text>
        <r>
          <rPr>
            <sz val="9"/>
            <color indexed="81"/>
            <rFont val="Tahoma"/>
            <family val="2"/>
          </rPr>
          <t xml:space="preserve">L'indennità oraria per il lavoro distaccato viene ripresa direttamente nella tabella di calcolo. </t>
        </r>
      </text>
    </comment>
    <comment ref="H22" authorId="0" shapeId="0">
      <text>
        <r>
          <rPr>
            <sz val="9"/>
            <color indexed="81"/>
            <rFont val="Tahoma"/>
            <family val="2"/>
          </rPr>
          <t xml:space="preserve">Sono presi in considerazione soltanto gli importi che eccedono le spese effettive. Alla voce "Calcoli" è riportato un esempio di calcolo. </t>
        </r>
      </text>
    </comment>
    <comment ref="D25" authorId="0" shapeId="0">
      <text>
        <r>
          <rPr>
            <sz val="9"/>
            <color indexed="81"/>
            <rFont val="Tahoma"/>
            <family val="2"/>
          </rPr>
          <t>Selezionare qui se si desidera indicare
l'indennità di lavoro distaccato in:
- euro per la durata dell'impiego oppure
- euro al giorno</t>
        </r>
      </text>
    </comment>
    <comment ref="D27" authorId="0" shapeId="0">
      <text>
        <r>
          <rPr>
            <sz val="9"/>
            <color indexed="81"/>
            <rFont val="Tahoma"/>
            <family val="2"/>
          </rPr>
          <t xml:space="preserve">Selezionare qui se si desidera la 13a mensilità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 
</t>
        </r>
      </text>
    </comment>
    <comment ref="D28" authorId="0" shapeId="0">
      <text>
        <r>
          <rPr>
            <sz val="9"/>
            <color indexed="81"/>
            <rFont val="Tahoma"/>
            <family val="2"/>
          </rPr>
          <t xml:space="preserve">Selezionare qui se si desidera la 14a mensilità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D29" authorId="0" shapeId="0">
      <text>
        <r>
          <rPr>
            <sz val="9"/>
            <color indexed="81"/>
            <rFont val="Tahoma"/>
            <family val="2"/>
          </rPr>
          <t xml:space="preserve">Selezionare qui se si desidera l'assegno per ferie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D30" authorId="1" shapeId="0">
      <text>
        <r>
          <rPr>
            <sz val="9"/>
            <color indexed="81"/>
            <rFont val="Tahoma"/>
            <family val="2"/>
          </rPr>
          <t xml:space="preserve">Selezionare qui se si desidera la gratifica natalizia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C40" authorId="0" shapeId="0">
      <text>
        <r>
          <rPr>
            <sz val="9"/>
            <color indexed="81"/>
            <rFont val="Tahoma"/>
            <family val="2"/>
          </rPr>
          <t>Questa cella deve essere completata soltanto in caso di lavoro notturno, di lavoro di sabato o di lavoro domenicale.
Se si applica un supplemento diverso da quello indicato nella cella B40, indicarlo qui. L'importo indicato in questo campo sarà preso in considerazione nel calcolo.</t>
        </r>
      </text>
    </comment>
    <comment ref="C42" authorId="1" shapeId="0">
      <text>
        <r>
          <rPr>
            <sz val="9"/>
            <color indexed="81"/>
            <rFont val="Tahoma"/>
            <family val="2"/>
          </rPr>
          <t xml:space="preserve">Fa fede il corso medio mensile pubblicato all'inizio dell'impiego. </t>
        </r>
      </text>
    </comment>
    <comment ref="C43" authorId="0" shapeId="0">
      <text>
        <r>
          <rPr>
            <sz val="9"/>
            <color indexed="81"/>
            <rFont val="Tahoma"/>
            <family val="2"/>
          </rPr>
          <t>Se i pernottamenti sono assunti direttamente dal datore di lavoro, non è necessario completare questo campo.</t>
        </r>
      </text>
    </comment>
    <comment ref="C44" authorId="1" shapeId="0">
      <text>
        <r>
          <rPr>
            <sz val="9"/>
            <color indexed="81"/>
            <rFont val="Tahoma"/>
            <family val="2"/>
          </rPr>
          <t>Se i costi di vitto sono assunti direttamente dal datore di lavoro, non è necessario completare questo campo.</t>
        </r>
      </text>
    </comment>
  </commentList>
</comments>
</file>

<file path=xl/comments2.xml><?xml version="1.0" encoding="utf-8"?>
<comments xmlns="http://schemas.openxmlformats.org/spreadsheetml/2006/main">
  <authors>
    <author>Claudio Wegmüller</author>
    <author>Daniel Baumberger</author>
  </authors>
  <commentList>
    <comment ref="H13" authorId="0" shapeId="0">
      <text>
        <r>
          <rPr>
            <sz val="9"/>
            <color indexed="81"/>
            <rFont val="Tahoma"/>
            <family val="2"/>
          </rPr>
          <t>Il salario di base viene ripreso direttamente nella tabella di calcolo.</t>
        </r>
      </text>
    </comment>
    <comment ref="D14" authorId="0" shapeId="0">
      <text>
        <r>
          <rPr>
            <sz val="9"/>
            <color indexed="81"/>
            <rFont val="Tahoma"/>
            <family val="2"/>
          </rPr>
          <t xml:space="preserve">Selezionare qui per indicare il salario di base in
- euro all'ora o in
- euro al mese.
</t>
        </r>
      </text>
    </comment>
    <comment ref="H14" authorId="0" shapeId="0">
      <text>
        <r>
          <rPr>
            <sz val="9"/>
            <color indexed="81"/>
            <rFont val="Tahoma"/>
            <family val="2"/>
          </rPr>
          <t>La conversione dell'importo mensile in un importo a ore avviene in modo analogo alla conversione del salario mensile lordo in un salario orario. (vedi sotto "Calcoli")</t>
        </r>
      </text>
    </comment>
    <comment ref="H15" authorId="0" shapeId="0">
      <text>
        <r>
          <rPr>
            <sz val="9"/>
            <color indexed="81"/>
            <rFont val="Tahoma"/>
            <family val="2"/>
          </rPr>
          <t xml:space="preserve">L'indennità di vacanza deve essere calcolata sulla base dell'importo che risulta dalla somma del salario di base e del compenso sotto forma di capitale. </t>
        </r>
      </text>
    </comment>
    <comment ref="H16" authorId="0" shapeId="0">
      <text>
        <r>
          <rPr>
            <sz val="9"/>
            <color indexed="81"/>
            <rFont val="Tahoma"/>
            <family val="2"/>
          </rPr>
          <t xml:space="preserve">L'indennità festiva deve essere calcolata sulla base dell'importo che risulta dalla somma del salario di base e del compenso sotta forma di capitale. </t>
        </r>
      </text>
    </comment>
    <comment ref="H17" authorId="0" shapeId="0">
      <text>
        <r>
          <rPr>
            <sz val="9"/>
            <color indexed="81"/>
            <rFont val="Tahoma"/>
            <family val="2"/>
          </rPr>
          <t>Una mensilità supplementare deve essere calcolata sulla base dell'importo che risulta dalla somma del salario di base, del compenso sotto forma die capitale e dell'indennità di vacanze/festiva.</t>
        </r>
      </text>
    </comment>
    <comment ref="A18" authorId="0" shapeId="0">
      <text>
        <r>
          <rPr>
            <sz val="9"/>
            <color indexed="81"/>
            <rFont val="Tahoma"/>
            <family val="2"/>
          </rPr>
          <t xml:space="preserve">Se una parte dell'impiego si svolge di notte, di sabato o di domenica, indicare qui se si tratta di un
- lavoro notturno, di un
- lavoro di sabato o di un 
- lavoro domenicale.
</t>
        </r>
      </text>
    </comment>
    <comment ref="C18" authorId="0" shapeId="0">
      <text>
        <r>
          <rPr>
            <sz val="9"/>
            <color indexed="81"/>
            <rFont val="Tahoma"/>
            <family val="2"/>
          </rPr>
          <t xml:space="preserve">Se una parte dell'impiego si svolge di notte, di sabato o di domenica, indicare qui il numero di ore.
</t>
        </r>
      </text>
    </comment>
    <comment ref="H18" authorId="0" shapeId="0">
      <text>
        <r>
          <rPr>
            <sz val="9"/>
            <color indexed="81"/>
            <rFont val="Tahoma"/>
            <family val="2"/>
          </rPr>
          <t>Una mensilità supplementare deve essere calcolata sulla base dell'importo che risulta dalla somma del salario di base, del compenso sotto forma die capitale e dell'indennità di vacanze/festiva.</t>
        </r>
      </text>
    </comment>
    <comment ref="H19" authorId="0" shapeId="0">
      <text>
        <r>
          <rPr>
            <sz val="9"/>
            <color indexed="81"/>
            <rFont val="Tahoma"/>
            <family val="2"/>
          </rPr>
          <t>L'assegno per ferie deve essere calcolato sulla base dell'importo che risulta dalla somma del salario di base, del compenso sotto forma di capitale e dell'indennità di vacanze/festiva</t>
        </r>
      </text>
    </comment>
    <comment ref="H20" authorId="0" shapeId="0">
      <text>
        <r>
          <rPr>
            <sz val="9"/>
            <color indexed="81"/>
            <rFont val="Tahoma"/>
            <family val="2"/>
          </rPr>
          <t>La gratifica natalizia deve essere calcolata sulla base dell'importo che risulta dalla somma del salario di base, del compenso sotto forma di capitale e dell'indennità di vacanze/festiva.</t>
        </r>
      </text>
    </comment>
    <comment ref="H21" authorId="1" shapeId="0">
      <text>
        <r>
          <rPr>
            <sz val="9"/>
            <color indexed="81"/>
            <rFont val="Tahoma"/>
            <family val="2"/>
          </rPr>
          <t xml:space="preserve">L'indennità oraria per il lavoro distaccato viene ripresa direttamente nella tabella di calcolo. </t>
        </r>
      </text>
    </comment>
    <comment ref="H22" authorId="0" shapeId="0">
      <text>
        <r>
          <rPr>
            <sz val="9"/>
            <color indexed="81"/>
            <rFont val="Tahoma"/>
            <family val="2"/>
          </rPr>
          <t xml:space="preserve">Sono presi in considerazione soltanto gli importi che eccedono le spese effettive. Alla voce "Calcoli" è riportato un esempio di calcolo. </t>
        </r>
      </text>
    </comment>
    <comment ref="D25" authorId="0" shapeId="0">
      <text>
        <r>
          <rPr>
            <sz val="9"/>
            <color indexed="81"/>
            <rFont val="Tahoma"/>
            <family val="2"/>
          </rPr>
          <t>Selezionare qui se si desidera indicare
l'indennità di lavoro distaccato in:
- euro per la durata dell'impiego oppure
- euro al giorno</t>
        </r>
      </text>
    </comment>
    <comment ref="D27" authorId="0" shapeId="0">
      <text>
        <r>
          <rPr>
            <sz val="9"/>
            <color indexed="81"/>
            <rFont val="Tahoma"/>
            <family val="2"/>
          </rPr>
          <t xml:space="preserve">Selezionare qui se si desidera la 13a mensilità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 
</t>
        </r>
      </text>
    </comment>
    <comment ref="D28" authorId="0" shapeId="0">
      <text>
        <r>
          <rPr>
            <sz val="9"/>
            <color indexed="81"/>
            <rFont val="Tahoma"/>
            <family val="2"/>
          </rPr>
          <t xml:space="preserve">Selezionare qui se si desidera la 14a mensilità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D29" authorId="0" shapeId="0">
      <text>
        <r>
          <rPr>
            <sz val="9"/>
            <color indexed="81"/>
            <rFont val="Tahoma"/>
            <family val="2"/>
          </rPr>
          <t xml:space="preserve">Selezionare qui se si desidera l'assegno per ferie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D30" authorId="1" shapeId="0">
      <text>
        <r>
          <rPr>
            <sz val="9"/>
            <color indexed="81"/>
            <rFont val="Tahoma"/>
            <family val="2"/>
          </rPr>
          <t xml:space="preserve">Selezionare qui se si desidera la gratifica natalizia espressa sotto forma di:
</t>
        </r>
        <r>
          <rPr>
            <b/>
            <sz val="9"/>
            <color indexed="81"/>
            <rFont val="Tahoma"/>
            <family val="2"/>
          </rPr>
          <t>- importo di denaro,
- percentuale di un mese di salario</t>
        </r>
        <r>
          <rPr>
            <sz val="9"/>
            <color indexed="81"/>
            <rFont val="Tahoma"/>
            <family val="2"/>
          </rPr>
          <t xml:space="preserve">
Se si desidera indicare i dati sotto forma di un importo di denaro, è necessario aggiungere il salario mensile nella cella C31. Se viene pagato un salario mensile intero, è possibile indicare 100%.</t>
        </r>
      </text>
    </comment>
    <comment ref="C40" authorId="0" shapeId="0">
      <text>
        <r>
          <rPr>
            <sz val="9"/>
            <color indexed="81"/>
            <rFont val="Tahoma"/>
            <family val="2"/>
          </rPr>
          <t>Questa cella deve essere completata soltanto in caso di lavoro notturno, di lavoro di sabato o di lavoro domenicale.
Se si applica un supplemento diverso da quello indicato nella cella B40, indicarlo qui. L'importo indicato in questo campo sarà preso in considerazione nel calcolo.</t>
        </r>
      </text>
    </comment>
    <comment ref="C42" authorId="1" shapeId="0">
      <text>
        <r>
          <rPr>
            <sz val="9"/>
            <color indexed="81"/>
            <rFont val="Tahoma"/>
            <family val="2"/>
          </rPr>
          <t xml:space="preserve">Fa fede il corso medio mensile pubblicato all'inizio dell'impiego. </t>
        </r>
      </text>
    </comment>
    <comment ref="C43" authorId="0" shapeId="0">
      <text>
        <r>
          <rPr>
            <sz val="9"/>
            <color indexed="81"/>
            <rFont val="Tahoma"/>
            <family val="2"/>
          </rPr>
          <t>Se i pernottamenti sono assunti direttamente dal datore di lavoro, non è necessario completare questo campo.</t>
        </r>
      </text>
    </comment>
    <comment ref="C44" authorId="1" shapeId="0">
      <text>
        <r>
          <rPr>
            <sz val="9"/>
            <color indexed="81"/>
            <rFont val="Tahoma"/>
            <family val="2"/>
          </rPr>
          <t>Se i costi di vitto sono assunti direttamente dal datore di lavoro, non è necessario completare questo campo.</t>
        </r>
      </text>
    </comment>
  </commentList>
</comments>
</file>

<file path=xl/comments3.xml><?xml version="1.0" encoding="utf-8"?>
<comments xmlns="http://schemas.openxmlformats.org/spreadsheetml/2006/main">
  <authors>
    <author>Claudio Wegmüller</author>
    <author>Daniel Baumberger</author>
  </authors>
  <commentList>
    <comment ref="D10" authorId="0" shapeId="0">
      <text>
        <r>
          <rPr>
            <sz val="9"/>
            <color indexed="8"/>
            <rFont val="Tahoma"/>
            <family val="2"/>
          </rPr>
          <t xml:space="preserve">Selezionare qui per indicare il salario di base in
- </t>
        </r>
        <r>
          <rPr>
            <b/>
            <sz val="9"/>
            <color indexed="8"/>
            <rFont val="Tahoma"/>
            <family val="2"/>
          </rPr>
          <t>euro all'ora</t>
        </r>
        <r>
          <rPr>
            <sz val="9"/>
            <color indexed="8"/>
            <rFont val="Tahoma"/>
            <family val="2"/>
          </rPr>
          <t xml:space="preserve"> o in
- </t>
        </r>
        <r>
          <rPr>
            <b/>
            <sz val="9"/>
            <color indexed="8"/>
            <rFont val="Tahoma"/>
            <family val="2"/>
          </rPr>
          <t>euro al mese</t>
        </r>
        <r>
          <rPr>
            <sz val="9"/>
            <color indexed="8"/>
            <rFont val="Tahoma"/>
            <family val="2"/>
          </rPr>
          <t xml:space="preserve">.
</t>
        </r>
      </text>
    </comment>
    <comment ref="A14" authorId="0" shapeId="0">
      <text>
        <r>
          <rPr>
            <sz val="9"/>
            <color indexed="8"/>
            <rFont val="Tahoma"/>
            <family val="2"/>
          </rPr>
          <t xml:space="preserve">Se una parte dell'impiego si svolge di notte, di sabato o di domenica, indicare qui se si tratta di un
- </t>
        </r>
        <r>
          <rPr>
            <b/>
            <sz val="9"/>
            <color indexed="8"/>
            <rFont val="Tahoma"/>
            <family val="2"/>
          </rPr>
          <t>lavoro notturno</t>
        </r>
        <r>
          <rPr>
            <sz val="9"/>
            <color indexed="8"/>
            <rFont val="Tahoma"/>
            <family val="2"/>
          </rPr>
          <t xml:space="preserve">, di un
- </t>
        </r>
        <r>
          <rPr>
            <b/>
            <sz val="9"/>
            <color indexed="8"/>
            <rFont val="Tahoma"/>
            <family val="2"/>
          </rPr>
          <t>lavoro di sabato</t>
        </r>
        <r>
          <rPr>
            <sz val="9"/>
            <color indexed="8"/>
            <rFont val="Tahoma"/>
            <family val="2"/>
          </rPr>
          <t xml:space="preserve"> o di un 
- </t>
        </r>
        <r>
          <rPr>
            <b/>
            <sz val="9"/>
            <color indexed="8"/>
            <rFont val="Tahoma"/>
            <family val="2"/>
          </rPr>
          <t>lavoro domenicale</t>
        </r>
        <r>
          <rPr>
            <sz val="9"/>
            <color indexed="8"/>
            <rFont val="Tahoma"/>
            <family val="2"/>
          </rPr>
          <t xml:space="preserve">.
</t>
        </r>
      </text>
    </comment>
    <comment ref="C14" authorId="0" shapeId="0">
      <text>
        <r>
          <rPr>
            <sz val="9"/>
            <color indexed="8"/>
            <rFont val="Tahoma"/>
            <family val="2"/>
          </rPr>
          <t>Se una parte dell'impiego si svolge di notte, di sabato o di domenica, indicare qui il numero di ore.</t>
        </r>
        <r>
          <rPr>
            <sz val="9"/>
            <color indexed="8"/>
            <rFont val="Tahoma"/>
            <family val="2"/>
          </rPr>
          <t xml:space="preserve">
</t>
        </r>
      </text>
    </comment>
    <comment ref="D18" authorId="0" shapeId="0">
      <text>
        <r>
          <rPr>
            <sz val="9"/>
            <color indexed="8"/>
            <rFont val="Tahoma"/>
            <family val="2"/>
          </rPr>
          <t xml:space="preserve">Selezionare qui per indicare l'indennità di distacco in
- </t>
        </r>
        <r>
          <rPr>
            <b/>
            <sz val="9"/>
            <color indexed="8"/>
            <rFont val="Tahoma"/>
            <family val="2"/>
          </rPr>
          <t xml:space="preserve">euro per tutta la durata dell'impiego </t>
        </r>
        <r>
          <rPr>
            <sz val="9"/>
            <color indexed="8"/>
            <rFont val="Tahoma"/>
            <family val="2"/>
          </rPr>
          <t xml:space="preserve">o in
- </t>
        </r>
        <r>
          <rPr>
            <b/>
            <sz val="9"/>
            <color indexed="8"/>
            <rFont val="Tahoma"/>
            <family val="2"/>
          </rPr>
          <t>euro al giorno</t>
        </r>
        <r>
          <rPr>
            <sz val="9"/>
            <color indexed="8"/>
            <rFont val="Tahoma"/>
            <family val="2"/>
          </rPr>
          <t>.</t>
        </r>
      </text>
    </comment>
    <comment ref="C30" authorId="0" shapeId="0">
      <text>
        <r>
          <rPr>
            <sz val="9"/>
            <color indexed="8"/>
            <rFont val="Tahoma"/>
            <family val="2"/>
          </rPr>
          <t>Questa cella deve essere completata soltanto in caso di lavoro notturno, di lavoro di sabato o di lavoro domenicale.
Se si applica un supplemento diverso da quello indicato nella cella B30, indicarlo qui. L'importo indicato in questo campo sarà preso in considerazione nel calcolo.</t>
        </r>
      </text>
    </comment>
    <comment ref="C32" authorId="1" shapeId="0">
      <text>
        <r>
          <rPr>
            <sz val="9"/>
            <color indexed="81"/>
            <rFont val="Tahoma"/>
            <family val="2"/>
          </rPr>
          <t xml:space="preserve">Fa fede il corso medio mensile pubblicato all'inizio dell'impiego. </t>
        </r>
      </text>
    </comment>
    <comment ref="C33" authorId="0" shapeId="0">
      <text>
        <r>
          <rPr>
            <sz val="9"/>
            <color indexed="8"/>
            <rFont val="Tahoma"/>
            <family val="2"/>
          </rPr>
          <t>Se i pernottamenti sono assunti direttamente dal datore di lavoro, non è necessario completare questo campo.</t>
        </r>
      </text>
    </comment>
    <comment ref="C34" authorId="0" shapeId="0">
      <text>
        <r>
          <rPr>
            <sz val="9"/>
            <color indexed="8"/>
            <rFont val="Tahoma"/>
            <family val="2"/>
          </rPr>
          <t>Se i costi di vitto sono assunti direttamente dal datore di lavoro, non è necessario completare questo campo.</t>
        </r>
      </text>
    </comment>
    <comment ref="C35" authorId="0" shapeId="0">
      <text>
        <r>
          <rPr>
            <sz val="9"/>
            <color indexed="8"/>
            <rFont val="Tahoma"/>
            <family val="2"/>
          </rPr>
          <t>Se i costi di viaggio sono assunti direttamente dal datore di lavoro (per es. Con la messa a disposozione di un veicolo), non è necessario completare questo campo.</t>
        </r>
      </text>
    </comment>
  </commentList>
</comments>
</file>

<file path=xl/sharedStrings.xml><?xml version="1.0" encoding="utf-8"?>
<sst xmlns="http://schemas.openxmlformats.org/spreadsheetml/2006/main" count="388" uniqueCount="174">
  <si>
    <t xml:space="preserve"> </t>
  </si>
  <si>
    <t>CHF</t>
  </si>
  <si>
    <t>%</t>
  </si>
  <si>
    <t xml:space="preserve">Paese di provenienza (dati in euro) </t>
  </si>
  <si>
    <t>Salario di base</t>
  </si>
  <si>
    <t>Durata dell'impiego in giorni</t>
  </si>
  <si>
    <t>Numero di pernottamenti</t>
  </si>
  <si>
    <t>Durata dell'impiego in ore</t>
  </si>
  <si>
    <t>Vacanze</t>
  </si>
  <si>
    <t>Giorni festivi</t>
  </si>
  <si>
    <t>Indennità supplementare</t>
  </si>
  <si>
    <t>Svizzera (dati in CHF)</t>
  </si>
  <si>
    <t>euro all'ora</t>
  </si>
  <si>
    <t>giorni</t>
  </si>
  <si>
    <t>pernottamenti</t>
  </si>
  <si>
    <t>ore</t>
  </si>
  <si>
    <t>euro al mese</t>
  </si>
  <si>
    <t>euro per la durata dell'impiego</t>
  </si>
  <si>
    <t>% di un mese di salario</t>
  </si>
  <si>
    <t>CHF/euro</t>
  </si>
  <si>
    <t>Retribuzione preventivata in Svizzera</t>
  </si>
  <si>
    <t>euro</t>
  </si>
  <si>
    <t>Indennità di vacanza</t>
  </si>
  <si>
    <t>Indennità festiva</t>
  </si>
  <si>
    <t>Salario orario lordo</t>
  </si>
  <si>
    <t>Differenza salario orario lordo</t>
  </si>
  <si>
    <t>Calcoli:</t>
  </si>
  <si>
    <t>Salario di base:</t>
  </si>
  <si>
    <t>Indennità supplementare:</t>
  </si>
  <si>
    <t>Indennità di vacanza:</t>
  </si>
  <si>
    <t>Indennità festiva:</t>
  </si>
  <si>
    <t>Tasso di cambio:</t>
  </si>
  <si>
    <t>Differenza totali</t>
  </si>
  <si>
    <t>euro all'anno</t>
  </si>
  <si>
    <t>% (supplemento percentuale sul salario orario)</t>
  </si>
  <si>
    <t xml:space="preserve">          di cui lavoro notturno</t>
  </si>
  <si>
    <t xml:space="preserve">          di cui lavoro domenicale</t>
  </si>
  <si>
    <t>euro al giorno</t>
  </si>
  <si>
    <t xml:space="preserve">          di cui lavoro di sabato</t>
  </si>
  <si>
    <t>I dati nei campi gialli corrispondono ad un esempio</t>
  </si>
  <si>
    <t>Indennità lavoro distaccato</t>
  </si>
  <si>
    <t>ore settimanali</t>
  </si>
  <si>
    <t>13a mensilità</t>
  </si>
  <si>
    <t>14a mensilità</t>
  </si>
  <si>
    <t>Importo forfetario per l'alloggio</t>
  </si>
  <si>
    <t>Importo forfetario per il vitto</t>
  </si>
  <si>
    <t>se l'indennità supplementare viene già indicata con un importo orario, può essere riportata direttamente nella tabella</t>
  </si>
  <si>
    <t>Indennità lavoro distaccato:</t>
  </si>
  <si>
    <t>Compenso sotto forma di capitale:</t>
  </si>
  <si>
    <t>la modalità di calcolo è analoga a quella impiegata per le indennità di vacanza.</t>
  </si>
  <si>
    <t>13a/14a mensilità:</t>
  </si>
  <si>
    <t>Assegno per ferie/gratifica natalizia:</t>
  </si>
  <si>
    <t>modalità di calcolo analoga a quella utilizzata per la 13a/14a mensilità.</t>
  </si>
  <si>
    <t xml:space="preserve">Il valore percentuale da sommare risulta dal calcolo seguente: </t>
  </si>
  <si>
    <t xml:space="preserve">Il valore riportato nella tabella risulta da:  </t>
  </si>
  <si>
    <t xml:space="preserve">Se le spese effettive superano l'indennità lavoro distaccato, l'importo mancante viene detratto (proporzionalmente, si tratta della retribuzione oraria) dal salario di base (nella sezione "retribuzione effettiva"). </t>
  </si>
  <si>
    <t>Se il conteggio del salario è in euro, il salario di base e le indennità devono essere divise per il tasso di cambio mensile CHF/euro, allo scopo di poter ottenere un salario orario lordo confrontabile con i salari svizzeri.</t>
  </si>
  <si>
    <t>Tabella di calcolo secondo la direttiva "Procedura da seguire per il confronto internationale</t>
  </si>
  <si>
    <t>Durata dell'impiego</t>
  </si>
  <si>
    <t>Confronto salario orario</t>
  </si>
  <si>
    <t>Retribuzione effettiva nel Paese di provenienza</t>
  </si>
  <si>
    <t xml:space="preserve">Salario di base </t>
  </si>
  <si>
    <t>Compenso sotto forma die capitale</t>
  </si>
  <si>
    <t>Assegno per ferie</t>
  </si>
  <si>
    <t xml:space="preserve">          tempo di viaggio in Svizzera</t>
  </si>
  <si>
    <t>Gratifica natalizia</t>
  </si>
  <si>
    <t>Ore lavorative settimanali nel Paese de provenienza</t>
  </si>
  <si>
    <t>14a mensilià</t>
  </si>
  <si>
    <t>Tasso di cambio</t>
  </si>
  <si>
    <t>La retribuzione oraria di base può essere riportata direttamente nella tabella</t>
  </si>
  <si>
    <t xml:space="preserve">la modalità di calcolo per passare dalla somma mensile all'importo orario è analoga a quella impiegata per passare dal salario lordo mensile ad un salario orario.       </t>
  </si>
  <si>
    <t xml:space="preserve">l'indennità di vacanza e le indennità festive sono calcalate sull'importo che risulta dalla somma di salario di base e compenso sotto forma di capitale.     </t>
  </si>
  <si>
    <t xml:space="preserve">la mensilità supplementare va calcolata sulla base dell'importo risultante dalla somma di: salario di base, compenso sotto forma di capitale, indennità di vacanza e indennità festiva.    
Se la mensilità supplementare equivale ad un intero salario mensile (100%), occorre sommare un importo corrispondente ad 1/12 della somma di: salario di base, compenso sotto forma di capitale, indennità di vacanza e indennità festiva. Qualora venisse corrisposta soltanto una parte del salario mensile, occorre considerare soltanto quest'ultima.  </t>
  </si>
  <si>
    <t>Estratto: Direttiva "Procedura da seguire per il confronto internazionale die salari"</t>
  </si>
  <si>
    <t xml:space="preserve">Per la delimitazione sono determinanti le spese effettive di viaggio, pernottamento e vitto. Se i costi sono assunti direttamente dal datore di lavoro (ad es. pagamento della fattura dell'albergo), le spese sostenute dal datore di lavoro non devono essere prese in considerazione nel confronto dei salari (non è necessario completare i campi C25, C43 e C44). Sono presi in considerazione soltanto gli importi che eccedono le spese effettive.
Dall'importo forfetario vengono dedotte le spese per l'alloggio (150 CHF al giorno) e il vitto (50 CHF al giorno).
Es.:  8 pernottamenti e 8 giorni di lavoro; 
indennità lavoro distaccato: 1200 euro  =  1 570.2 CHF
spese effettive:  8 x 150 CHF +  8 x 40 CHF =  1 520 CHF
importo eccedente: 50.20 CHF
importo eccedente per ora lavorativa: 50.20 CHF / 64 = 0.78 CHF
--&gt; 0.78 CHF vengono sommati al salario di base.
</t>
  </si>
  <si>
    <t xml:space="preserve">In merito al confronto dei salari si pone anche la questione inerente al momento, e al luogo, di inizio dell’impiego. In generale, le prescrizioni nazionali di diritto privato e pubblico vigono unicamente entro i confini del territorio nazionale (principio di territorialità). Questo principio vale anche per il campo d’applicazione della legge sui lavoratori distaccati e, di conseguenza, si applica al confronto dei salari. Le disposizioni determinanti in tale materia – contemplate dalle leggi federali, dai contratti collettivi di lavoro di obbligatorietà generale e dai contratti normali di lavoro – sono applicabili soltanto alle fattispecie che si verificano in Svizzera. In concreto ciò significa che, in relazione al confronto dei salari, l’inizio dell’impiego deve essere fissato al più presto al momento del transito al confine svizzero. </t>
  </si>
  <si>
    <t>1.2 Inizio dell'impiego</t>
  </si>
  <si>
    <t>3.1 Salario di base</t>
  </si>
  <si>
    <t xml:space="preserve">Secondo l’articolo 1 lettera a ODist, il salario minimo è in rapporto con la durata normale del lavoro e la qualificazione acquisita. In considerazione del fatto che gli orari di lavoro variano da uno Stato all’altro, occorre confrontare i salari in base al salario orario lordo. Il salario lordo deve essere desunto dal conteggio del salario o dal contratto di lavoro. </t>
  </si>
  <si>
    <t>Se viene dichiarato soltanto il salario mensile lordo, l’importo corrispondente deve essere diviso per il numero di ore mensili previste dal contratto. Se i dati relativi a queste ultime non sono disponibili, occorre basarsi sul numero di ore lavorative previste nel CCL di obbligatorietà generale applicabile nel caso in esame, oppure sulla normale durata mensile del lavoro. L’esempio seguente è basato su 52 settimane all’anno, vale a dire 21,75 giorni lavorativi mensili. Esempio: settimana di 42 ore / salario mensile di 4000.- CHF</t>
  </si>
  <si>
    <t>Nella sezione «retribuzione preventivata» il salario di base determinante corrisponde al salario minimo previsto nel CCL di obbligatorietà generale vigente al momento dell’impiego, oppure al salario usuale per il luogo, la professione o il ramo professionale. Per una scelta corretta della categoria salariale si può fare riferimento al contratto di lavoro, al livello di formazione professionale raggiunto, all’età nonché al tipo di attività svolta secondo il rapporto di controllo.</t>
  </si>
  <si>
    <t>3.3 Indennità concesse in relazione al lavoro distaccato</t>
  </si>
  <si>
    <t>3.3.1 Spese</t>
  </si>
  <si>
    <t xml:space="preserve">Considerato che le indennità concesse per le spese non possono essere computate nel salario lordo, per il confronto dei salari è necessario differenziare i due tipi di indennità summenzionati. Ai fini di tale differenziazione, sono determinanti in primo luogo le spese effettivamente sostenute per viaggi, vitto e alloggio. Se la documentazione relativa alle spese effettive non è disponibile, è necessario basarsi su importi forfetari. Nei settori in cui vigono CCL di obbligatorietà generale sono applicabili i forfait definiti nei contratti. Se un CCL di obbligatorietà generale non prevede alcun importo forfetario o se in un settore non esiste nessun CCL di obbligatorietà generale, ci si deve basare sulle stime seguenti. </t>
  </si>
  <si>
    <t xml:space="preserve">Pernottamento con prima colazione:  CHF 150.- 
Pernottamento senza prima colazione: CHF 135.- 
Prima colazione:  CHF 15.- 
Per ogni pranzo o cena:  CHF 20.-
</t>
  </si>
  <si>
    <t xml:space="preserve">Esse hanno soltanto un carattere indicativo, essendo necessario tenere presenti anche le differenze di costi a livello regionale. L’unità monetaria degli importi forfetari di cui sotto è il franco svizzero (CHF), poiché non tutti i Paesi dell’UE hanno adottato l’euro (€) come moneta. </t>
  </si>
  <si>
    <t xml:space="preserve">La differenza tra le indennità concesse in relazione al lavoro distaccato secondo l’articolo 2 capoverso 3 LDist e il totale delle spese, o delle spese forfetarie, deve essere conteggiata come indennità supplementare (v. punto 3.3.2) in aggiunta al salario di base (sezione «retribuzione effettiva»). Vale a dire che la somma in questione deve essere divisa per le ore di lavoro prestato in Svizzera (compreso il tempo di viaggio a partire dalla frontiera) e aggiunta al salario orario. A questo proposito, risulta ininfluente se vengano o meno riscossi contributi sociali. Per conteggiare come componenti salariali le indennità concesse in relazione al lavoro distaccato non è pertanto decisivo se esse sono o meno soggette all’obbligo assicurativo, bensì se esse superano le spese effettive. </t>
  </si>
  <si>
    <t>3.3.2 Indennità supplementari</t>
  </si>
  <si>
    <t>Come menzionato in precedenza, le indennità dirette a compensare la differenza di salario tra la Svizzera e il Paese di provenienza sono da considerare componenti salariali. Le indennità supplementari costituiscono una retribuzione soggetta al diritto previdenziale (indipendentemente dal fatto che il diritto previdenziale applicabile preveda in relazione ad esse il versamento obbligatorio di contributi) e, generalmente, sul conteggio del salario figurano separatamente. Se il loro versamento non avviene già su base oraria – per ora di lavoro prestato in Svizzera – è necessario calcolare l’ammontare orario delle indennità supplementari e aggiungerlo al salario di base (sezione «retribuzione effettiva»).</t>
  </si>
  <si>
    <t>3.4 Compensi sotto forma di capitale secondo la legge tedesca sulla formazione del capitale</t>
  </si>
  <si>
    <t>Secondo la legge sulla formazione del capitale  i lavoratori tedeschi possono consentire al loro datore di lavoro di investire parte del loro salario per contribuire alla creazione di capitale. L’investimento può consistere in un contratto di risparmio immobiliare oppure avvenire sotto altre forme. La formazione di capitale viene finanziata dal lavoratore e/o dal datore di lavoro. L’obbligo da parte del datore di lavoro di versare compensi supplementari sotto forma di capitale deriva da accordi collettivi o individuali.</t>
  </si>
  <si>
    <t>Alla luce di quanto precede, i compensi versati sotto forma di capitale ‒ e come tali dichiarati dal datore di lavoro ‒ sono da considerare componenti salariali. Vanno inclusi nel confronto dei salari.</t>
  </si>
  <si>
    <t>Il calcolo per stabilire l’importo orario corrispondente al compenso sotto forma di capitale versato mensilmente avviene analogamente a quello necessario per passare dal salario mensile lordo al salario orario lordo (v. punto 3.1).</t>
  </si>
  <si>
    <t>3.5 Indennità di vacanza</t>
  </si>
  <si>
    <t xml:space="preserve">Nella sezione «retribuzione effettiva» occorre inserire i giorni di vacanza effettivamente concessi, mentre nella sezione «retribuzione preventivata» vanno registrati i giorni di vacanza previsti dal CCL di obbligatorietà generale oppure usualmente accordati. La durata minima delle vacanza secondo la legge (art. 329a CO) è di quattro settimane all’anno; fino al compimento del 20° anno di età, i lavoratori hanno diritto ad almeno cinque settimane di vacanza. L’indennità di vacanza deve essere calcolata sul salario di base, comprendente il compenso sotto forma di capitale. </t>
  </si>
  <si>
    <t>Per le indennità di vacanza e le indennità festive (punto 3.5) occorre utilizzare i valori percentuali  che compaiono nella tabella seguente.</t>
  </si>
  <si>
    <t xml:space="preserve">1 giorno = 0.39%      11 giorni = 4.42%     21 giorni = 8.79%      31 giorni = 13.54%
2 giorni = 0.78%      12 giorni = 4.84%      22 giorni = 9.24%      32 giorni = 14.04%
3 giorni = 1.17%      13 giorni = 5.26%      23 giorni = 9.70%      33 giorni = 14.54%
4 giorni = 1.56%      14 giorni = 5.69%      24 giorni = 10.17%    34 giorni = 15.04%
5 giorni = 1.96%      15 giorni = 6.12%      25 giorni = 10.64%    35 giorni = 15.56%
6 giorni = 2.36%      16 giorni = 6.56%      26 giorni = 11.11%    36 giorni = 16.07%
7 giorni = 2.77%      17 giorni = 7.00%      27 giorni = 11.59%    37 giorni = 16.59%
8 giorni = 3.17%      18 giorni = 7.44%      28 giorni = 12.07%    38 giorni = 17.12%
9 giorni = 3.59%      19 giorni = 7.88%      29 giorni = 12.55%    39 giorni = 17.65%
10 giorni = 4.00%    20 giorni = 8.33 %     30 giorni = 13.04%     40 giorni = 18.18%
</t>
  </si>
  <si>
    <t xml:space="preserve">In un anno ci sono 365 giorni. Il 365° giorno viene considerato un sabato o una domenica. L'anno viene equiparato a 52 settimane. Dedotti i 104 giorni di libero, si ottengono 260 giorni lavorativi all’anno. 
Esempio: se un lavoratore ha diritto a quattro settimane di ferie (cioè 20 giorni lavorativi), il diritto alle vacanze in rapporto ai giorni di lavoro corrisponde a:
</t>
  </si>
  <si>
    <t xml:space="preserve">Esempio: un lavoratore distaccato beneficia, nel suo Paese di provenienza, di 30 giorni di vacanza all’anno. Un lavoratore svizzero dello stesso ramo professionale ha diritto a 20 giorni di vacanza all’anno. Per poter confrontare il salario di entrambi i lavoratori è necessario sommare al salario svizzero di base una quota corrispondente all’8,33 per cento dello stesso. Per il calcolo del salario nella sezione «retribuzione effettiva» occorre sommare al salario di base – comprendente il compenso sotto forma di capitale – una quota corrispondente al 13,04 per cento. </t>
  </si>
  <si>
    <t xml:space="preserve">A beneficio dei loro collaboratori, i datori di lavoro tedeschi e austriaci del settore edile sono tenuti a versare delle indennità per ferie [Urlaubsentgelt] ad una cassa per le ferie [Urlaubskasse]. Questa retribuzione corrisponde all’indennità di vacanza obbligatoria versata in Svizzera conformemente all’articolo 329d CO. Poiché, secondo il metodo di calcolo della presente direttiva, l’indennità di vacanza viene già computata nella sezione «retribuzione effettiva», occorre – per evitare un doppio conteggio – escludere da quest’ultima l’indennità per ferie di cui sopra. Tuttavia, se l’indennità per ferie supera l’indennità di vacanza è necessario aggiungere l’importo corrispondente a tale eccedenza nella sezione «retribuzione effettiva». </t>
  </si>
  <si>
    <t xml:space="preserve">Se un CCL di obbligatorietà generale per le vacanze prevede dei versamenti obbligatori ad una cassa di compensazione, il datore di lavoro non è tenuto al pagamento di contributi se fornisce la prova che l’indennità per ferie è stata corrisposta (art. 2 cpv. 2 LDist). </t>
  </si>
  <si>
    <t>3.6 Indennità festive</t>
  </si>
  <si>
    <t xml:space="preserve">Ad eccezione del 1° agosto, i giorni festivi stabiliti dai Cantoni non determinano l’obbligo di versamento del salario. Tuttavia, quest’ultimo può essere disciplinato da CCL, CNL o da contratti di lavoro individuali. Pertanto nel confronto internazionale dei salari devono essere prese in considerazione anche le indennità festive. A tale riguardo è necessario tenere conto dei giorni festivi riconosciuti nell’arco di un anno, senza limitarsi a considerare soltanto il periodo d’impiego, a prescindere dal giorno della settimana in cui cade il giorno festivo. In questo modo si tiene conto della differenza tra il numero di giorni festivi a cui si ha diritto in Svizzera e quello riconosciuto nel Paese di provenienza. </t>
  </si>
  <si>
    <t>Analogamente alla procedura seguita per i giorni di vacanza riconosciuti, nella sezione «retribuzione effettiva» occorre inserire i giorni festivi effettivamente concessi, mentre nella sezione «retribuzione preventivata» vanno registrati i giorni festivi previsti dal CCL di obbligatorietà generale oppure usualmente accordati. Anche le indennità festive devono essere calcolate sul salario di base comprendente il compenso sotto forma di capitale.</t>
  </si>
  <si>
    <t xml:space="preserve">Sul sito Internet http://www.feiertagskalender.ch/ possono essere consultate informazioni circa i giorni festivi riconosciuti negli Stati europei e nelle loro regioni. In caso di dubbio, spetta al datore di lavoro fornire la documentazione relativa al numero di giorni festivi concessi. Nella sezione «retribuzione preventivata» vanno riportati i giorni festivi riconosciuti nel Cantone in questione. Le percentuali per il calcolo delle indennità festive corrispondono a quelle menzionate sopra in relazione al computo dell’indennità di vacanza. </t>
  </si>
  <si>
    <t>3.7       Tredicesima e quattordicesima mensilità</t>
  </si>
  <si>
    <t>In linea di principio occorre evitare che l’attuazione della legge sui lavoratori distaccati comporti l’acquisizione di nuovi diritti da parte dei lavoratori distaccati. Ciò significa che, in generale, un datore di lavoro non può essere obbligato a versare una 13a mensilità se ciò non è previsto dal CCL di obbligatorietà generale o dal CNL applicabile al caso in questione. La 13a mensilità può comparire nella sezione «retribuzione preventivata» soltanto se ciò adempie a disposizioni giuridiche vincolanti contemplate dalla normativa svizzera.</t>
  </si>
  <si>
    <t xml:space="preserve">Ad integrazione della direttiva del 20 febbraio 2007 : in deroga al principio suddetto, nella sezione «retribuzione effettiva» occorre tener conto della 13a e della 14a mensilità effettivamente versate anche se ciò non è previsto da alcuna disposizione vincolante del diritto svizzero. Se un datore di lavoro corrisponde la 13a e la 14a mensilità – in adempimento di un contratto individuale, un contratto collettivo o un’altra disposizione vincolante vigente nel Paese di provenienza – la mancata presa in considerazione di tale versamento, a causa dell’assenza in Svizzera delle necessarie basi giuridiche, sarebbe ingiustificata. </t>
  </si>
  <si>
    <t>L’indennità per la 13a mensilità deve essere calcolata sul salario di base comprendente il compenso sotto forma di capitale e le indennità festive e di vacanza. Se la mensilità supplementare corrisponde ad un salario mensile (100%), occorre aggiungere un importo equivalente ad 1/12 (corrispondente all’8,33%) alla somma composta da: salario di base, compenso sotto forma di capitale nonché indennità festive e di vacanza.</t>
  </si>
  <si>
    <t>3.8 Supplementi obbligatori per ore supplementari, lavoro a cottimo, lavoro a turno, lavoro notturno, lavoro domenicale e nei giorni festivi</t>
  </si>
  <si>
    <t xml:space="preserve">Se queste prestazioni lavorative vengono fornite in Svizzera, i supplementi corrispondenti devono comparire nel calcolo del salario della sezione «retribuzione preventivata». A tale proposito sono determinanti le disposizioni del CO e della legge sul lavoro relative ai supplementi obbligatori. Nei casi disciplinati da un CCL di obbligatorietà generale o da un CNL, i supplementi vengono stabiliti in base alle disposizioni dei relativi contratti. 
Se il datore di lavoro può provare che il lavoro supplementare viene compensato in Svizzera o nel Paese di provenienza (ev. con un supplemento in tempo), l’obbligo relativo al supplemento decade. A condizione, però, che la compensazione sia conforme alla legge sul lavoro e al CCL di obbligatorietà generale applicabile al caso in questione.
</t>
  </si>
  <si>
    <t>3.9 Assegno per ferie/gratifica natalizia</t>
  </si>
  <si>
    <t xml:space="preserve">Gli assegni per ferie e le gratifiche natalizie, particolarmente in uso in Germania, devono essere computate nel salario effettivo. La gratifica natalizia è un compenso supplementare che il datore di lavoro generalmente versa con lo stipendio del mese di novembre. Il diritto alla gratifica natalizia può essere stabilito in un contratto di lavoro aziendale, in un contratto di lavoro oppure un accordo aziendale; si può però anche trattare di un compenso versato volontariamente dal datore di lavoro. La gratifica natalizia è soggetta all’obbligo contributivo ed assicurativo. </t>
  </si>
  <si>
    <t>L’assegno per ferie è un compenso supplementare che il datore di lavoro di solito versa con lo stipendio del mese di giugno. Il diritto a detto assegno può essere stabilito in un contratto di lavoro aziendale, un accordo aziendale o un contratto di lavoro.</t>
  </si>
  <si>
    <t>Entrambi i compensi presentano le caratteristiche di una retribuzione speciale ai sensi dell’articolo 322d CO. Una loro differenziazione rispetto alla 13a mensilità risulta tuttavia incerta: per questo motivo nel confronto salariale è lecito equipararli a quest’ultima, a condizione che il datore di lavoro possa documentare i pagamenti in questione. Considerato che il versamento avviene in giugno e alla fine dell’anno, ci si deve basare sui documenti relativi ai pagamenti dell’anno precedente. Di norma, sommando questi compensi si ottiene un importo corrispondente ad una 13a mensilità, pari all’8,33 per cento. Nella sezione «retribuzione preventivata» va eventualmente inserita la 13a mensilità, mentre nella sezione «retribuzione effettiva» occorre registrare l’assegno per ferie e la gratifica natalizia.</t>
  </si>
  <si>
    <t>3.11 Tasso di cambio</t>
  </si>
  <si>
    <t>Indicazioni su ditta, durata dell'impiego e collaboratori</t>
  </si>
  <si>
    <t>Nome, cognome collaboratore / collaboratrice</t>
  </si>
  <si>
    <t>Ditta che distacca il personale</t>
  </si>
  <si>
    <t>Osservazioni generali:</t>
  </si>
  <si>
    <t>le infrazioni devono essere segnalate solo se si riscontra una differenza di salario nel totale finale e non in una singola posizione.</t>
  </si>
  <si>
    <t>Se è documentato solo il salario mensile lordo, quest'ultimo deve essere diviso per il numero di ore mensili stabilite contrattualmente.
Se è noto solo il numero di ore annuali, il salario mensile lordo può essere determinato con il calcolo riportato di seguito.
Su una media di quattro anni, in un anno si contano 52 settimane:      52 × numero di ore settimanali = ore annuali
                                                                                                   numero di ore annuali / 12 = numero di ore mensili
                                                                                                   salario mensile lordo / numero di ore mensili = salario orario</t>
  </si>
  <si>
    <t xml:space="preserve">Se il datore di lavoro non è in grado di fornire una prova del rimborso o dell’assunzione delle spese per il viaggio, il vitto e l’alloggio, tali spese verranno dedotte dal salario di base conformemente all’art. 2 cpv. 3 LDist. Se il rimborso o l’assunzione delle spese è dimostrato solo in parte, l’importo mancante viene dedotto dal salario di base (proporzionalmente per ogni ora).
L’obbligo di rimborsare le spese connesse al distacco vale a prescindere dal fatto che tali costi siano stati sostenuti in Svizzera o all’estero durante l'impiego (per la durata dell'impiego a partire dalla notifica).
</t>
  </si>
  <si>
    <t xml:space="preserve">07.04.2014 - 16.04.2014  </t>
  </si>
  <si>
    <t>ESEMPIO SA</t>
  </si>
  <si>
    <t>Carlo Campionario</t>
  </si>
  <si>
    <t>{0}</t>
  </si>
  <si>
    <t>Vostra ditta</t>
  </si>
  <si>
    <t>Vostro lavoratore</t>
  </si>
  <si>
    <t>Tabella di calcolo secondo la direttiva "Procedura da seguire per il confronto internazionale dei salari"</t>
  </si>
  <si>
    <t>Salario orario preventivato:</t>
  </si>
  <si>
    <t>I dati riportati nei campi in giallo sono degli esempi</t>
  </si>
  <si>
    <t>Retribuzione del lavoro eseguito</t>
  </si>
  <si>
    <t>forfait in euro</t>
  </si>
  <si>
    <t>Supplemento lavoro domenicale</t>
  </si>
  <si>
    <r>
      <t>13</t>
    </r>
    <r>
      <rPr>
        <vertAlign val="superscript"/>
        <sz val="12"/>
        <rFont val="Arial"/>
        <family val="2"/>
      </rPr>
      <t>a</t>
    </r>
    <r>
      <rPr>
        <sz val="12"/>
        <rFont val="Arial"/>
        <family val="2"/>
      </rPr>
      <t xml:space="preserve"> mensilità</t>
    </r>
  </si>
  <si>
    <r>
      <t>14</t>
    </r>
    <r>
      <rPr>
        <vertAlign val="superscript"/>
        <sz val="12"/>
        <rFont val="Arial"/>
        <family val="2"/>
      </rPr>
      <t>a</t>
    </r>
    <r>
      <rPr>
        <sz val="12"/>
        <rFont val="Arial"/>
        <family val="2"/>
      </rPr>
      <t xml:space="preserve"> mensilità</t>
    </r>
  </si>
  <si>
    <t>Salario lordo orario</t>
  </si>
  <si>
    <t>Vacanze pagate</t>
  </si>
  <si>
    <t>Giorni festivi pagati</t>
  </si>
  <si>
    <t>Confronto retribuzione del lavoro eseguito/Retribuzione preventivata totale:</t>
  </si>
  <si>
    <t>Indennità di distacco</t>
  </si>
  <si>
    <t>Retribuzione preventivata</t>
  </si>
  <si>
    <t>All'ora</t>
  </si>
  <si>
    <t>Numero di ore</t>
  </si>
  <si>
    <t>Totale</t>
  </si>
  <si>
    <t>Spese di materiale, strumenti di lavoro, altri</t>
  </si>
  <si>
    <t>Retribuzione preventivata per impieghi domenicali:</t>
  </si>
  <si>
    <t>Retribuzione preventivata per impieghi nella normale durata del lavoro:</t>
  </si>
  <si>
    <t>Salario di base (all'ora)</t>
  </si>
  <si>
    <t>Retribuzione effettiva</t>
  </si>
  <si>
    <t>Spese di pernottamento</t>
  </si>
  <si>
    <t>Spese di vitto</t>
  </si>
  <si>
    <t>Spese di viaggio</t>
  </si>
  <si>
    <t>Contrariamente a quanto avviene per i lavoratori distaccati, in caso di constatazione di pseudo-indipendenza il confronto dei salari si basa sull'intera somma del mandato (non è effettuato un confronto diretto dei salari in base al salario orario), poiché la retribuzione del lavoro in caso di attribuzione di un mandato a un lavoratore indipendente è spesso convenuta sotto forma di forfait.
Come base dal lato della retribuzione preventivata si applicano tuttavia i salari minimi orari vincolanti in Svizzera.</t>
  </si>
  <si>
    <t>Retribuzione del lavoro eseguito:</t>
  </si>
  <si>
    <r>
      <t>A seconda di come è versata, la retribuzione del lavoro può essere indicata sotto forma di salario orario o di importo forfetario.
Dal lato della retribuzione preventivata, si applica il salario minimo vigente in Svizzera (incl. indennità festive e di vacanza e 13</t>
    </r>
    <r>
      <rPr>
        <vertAlign val="superscript"/>
        <sz val="12"/>
        <rFont val="Arial"/>
        <family val="2"/>
      </rPr>
      <t>a</t>
    </r>
    <r>
      <rPr>
        <sz val="12"/>
        <rFont val="Arial"/>
        <family val="2"/>
      </rPr>
      <t xml:space="preserve"> mensilità) moltiplicato per la durata dell'impiego.</t>
    </r>
  </si>
  <si>
    <t>Indennità di distacco:</t>
  </si>
  <si>
    <t xml:space="preserve">Per la delimitazione sono determinanti le spese effettive di viaggio, pernottamento e vitto. Se i costi sono assunti direttamente dal datore di lavoro (ad es. pagamento della fattura dell'albergo), le spese sostenute dal datore di lavoro non devono essere prese in considerazione nel confronto dei salari (non è necessario completare i campi C20, C33, C34 e C35).
Tenere conto unicamente degli importi che superano le spese effettive.
Dedurre dall'importo forfetario le spese di pernottamento (150 CHF al giorno), di vitto (40 CHF al giorno) come di viaggio (60 CHF; corrisponde a un tragitto di 100 km con la propria macchina).
Es: 8 notti e 8 giorni lavorativi
Indennità di distacco: 1300 euro  =  1588.99 CHF
Spese effettive:  8×150 CHF+ 8×40 CHF + 0.6×100 =  1580 CHF
Importo eccedente: 8.99 CHF
→ 8.99 CHF sono da aggiungere alla retribuzione del lavoro eseguito.
</t>
  </si>
  <si>
    <t xml:space="preserve">Se per il viaggio il lavoratore ha usato il veicolo privato, occorre applicare la tariffa di rimborso definita nel CCL di obbligatorietà generale. Qualora non esistesse una disposizione al riguardo, si raccomanda di applicare una tariffa di CHF 0.60 per chilometro. Per calcolare le spese di viaggio occorre considerare l’intero viaggio di andata e ritorno, vale a dire il tragitto dal luogo di partenza nel Paese d’origine alla sede di lavoro in Svizzera e viceversa. </t>
  </si>
  <si>
    <t>Se le spese effettive superano l'importo dell'indennità di distacco, si deve convertire la differenza in un importo orario e dedurlo dalla retribuzione del lavoro (dal lato della retribuzione effettiva).</t>
  </si>
  <si>
    <t>Spese di materiale, strumenti di lavoro, altri:</t>
  </si>
  <si>
    <t>Se il lavoratore ha dovuto sostenere altre spese comprovabili di cui il datore di lavoro deve farsi carico nell’ambito di un rapporto di lavoro, queste spese sono dedotte dalla retribuzione del lavoro.</t>
  </si>
  <si>
    <t>Indennità festive e di vacanza:</t>
  </si>
  <si>
    <t>Le indennità festive e di vacanza dal lato della retribuzione preventivata sono calcolate come l'indennità per i lavoratori distaccati.</t>
  </si>
  <si>
    <r>
      <t>13</t>
    </r>
    <r>
      <rPr>
        <b/>
        <vertAlign val="superscript"/>
        <sz val="11"/>
        <rFont val="Arial"/>
        <family val="2"/>
      </rPr>
      <t>a</t>
    </r>
    <r>
      <rPr>
        <b/>
        <sz val="11"/>
        <rFont val="Arial"/>
        <family val="2"/>
      </rPr>
      <t xml:space="preserve"> e 14</t>
    </r>
    <r>
      <rPr>
        <b/>
        <vertAlign val="superscript"/>
        <sz val="11"/>
        <rFont val="Arial"/>
        <family val="2"/>
      </rPr>
      <t>a</t>
    </r>
    <r>
      <rPr>
        <b/>
        <sz val="11"/>
        <rFont val="Arial"/>
        <family val="2"/>
      </rPr>
      <t xml:space="preserve"> mensilità:</t>
    </r>
  </si>
  <si>
    <r>
      <t>Anche l'indennità per un'eventuale 13</t>
    </r>
    <r>
      <rPr>
        <vertAlign val="superscript"/>
        <sz val="12"/>
        <rFont val="Arial"/>
        <family val="2"/>
      </rPr>
      <t>a</t>
    </r>
    <r>
      <rPr>
        <sz val="12"/>
        <rFont val="Arial"/>
        <family val="2"/>
      </rPr>
      <t xml:space="preserve"> o 14</t>
    </r>
    <r>
      <rPr>
        <vertAlign val="superscript"/>
        <sz val="12"/>
        <rFont val="Arial"/>
        <family val="2"/>
      </rPr>
      <t>a</t>
    </r>
    <r>
      <rPr>
        <sz val="12"/>
        <rFont val="Arial"/>
        <family val="2"/>
      </rPr>
      <t xml:space="preserve"> mensilità dal lato della retribuzione preventivata è calcolata come l'indennità per i lavoratori distaccati.</t>
    </r>
  </si>
  <si>
    <t xml:space="preserve">Tasso di cambio </t>
  </si>
  <si>
    <t>Commento:</t>
  </si>
  <si>
    <t>Secondo l’articolo 2 capoverso 3 LDist il datore di lavoro rimborsa ai lavoratori distaccati le spese in relazione al lavoro distaccato. Tali rimborsi non sono considerati componente del salario.</t>
  </si>
  <si>
    <t xml:space="preserve">Tra le indennità concesse in relazione al lavoro distaccato possono rientrare sia i versamenti effettuati dal datore di lavoro per la copertura delle spese effettivamente sostenute per l’impiego in Svizzera (rimborsi) ma anchei versamenti destinati a compensare la differenza di salario tra la Svizzera e il Paese di provenienza e, dunque, aventi carattere di indennità di distacco supplementari. </t>
  </si>
  <si>
    <t>luglio 2023</t>
  </si>
  <si>
    <t>luglio</t>
  </si>
  <si>
    <t xml:space="preserve">Sul seguente sito dell’Amministrazione federale delle contribuzioni vengono mensilmente pubblicati i tassi medi di cambio: https://www.estv.admin.ch/estv/it/home/imposta-sul-valore-aggiunto/rendiconto-iva/iva-corsi-delle-valute-estere/corsi-medi-mensili/corsi-medi-mensili-attuale.html
Fa fede il corso medio mensile pubblicato all’inizio dell’impiego. Esempio: se l’impiego inizia il 14 aprile 2014, verrà applicato il corso medio mensile pubblicato dall’AFC per il mese di aprile 2014 (la pubblicazione compare il 25 del mese precedente). Questa regola vale indipendentemente dalla durata dell’impiego.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</si>
</sst>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0" formatCode="0.0000"/>
    <numFmt numFmtId="171" formatCode="0.00_ ;[Red]\-0.00\ "/>
  </numFmts>
  <fonts count="27" x14ac:knownFonts="1">
    <font>
      <sz val="10"/>
      <name val="Arial"/>
    </font>
    <font>
      <sz val="10"/>
      <name val="Arial"/>
      <family val="2"/>
    </font>
    <font>
      <sz val="11"/>
      <name val="Arial"/>
      <family val="2"/>
    </font>
    <font>
      <b/>
      <sz val="11"/>
      <name val="Arial"/>
      <family val="2"/>
    </font>
    <font>
      <sz val="10"/>
      <name val="Arial"/>
      <family val="2"/>
    </font>
    <font>
      <b/>
      <sz val="12"/>
      <name val="Arial"/>
      <family val="2"/>
    </font>
    <font>
      <sz val="12"/>
      <name val="Arial"/>
      <family val="2"/>
    </font>
    <font>
      <i/>
      <sz val="12"/>
      <name val="Arial"/>
      <family val="2"/>
    </font>
    <font>
      <sz val="9"/>
      <color indexed="81"/>
      <name val="Tahoma"/>
      <family val="2"/>
    </font>
    <font>
      <b/>
      <sz val="9"/>
      <color indexed="81"/>
      <name val="Tahoma"/>
      <family val="2"/>
    </font>
    <font>
      <i/>
      <sz val="11"/>
      <name val="Arial"/>
      <family val="2"/>
    </font>
    <font>
      <u/>
      <sz val="10"/>
      <color indexed="12"/>
      <name val="Arial"/>
      <family val="2"/>
    </font>
    <font>
      <u/>
      <sz val="12"/>
      <name val="Arial"/>
      <family val="2"/>
    </font>
    <font>
      <b/>
      <i/>
      <sz val="11"/>
      <name val="Arial"/>
      <family val="2"/>
    </font>
    <font>
      <b/>
      <u/>
      <sz val="10"/>
      <name val="Arial"/>
      <family val="2"/>
    </font>
    <font>
      <vertAlign val="superscript"/>
      <sz val="12"/>
      <name val="Arial"/>
      <family val="2"/>
    </font>
    <font>
      <b/>
      <sz val="10"/>
      <name val="Arial"/>
      <family val="2"/>
    </font>
    <font>
      <b/>
      <vertAlign val="superscript"/>
      <sz val="11"/>
      <name val="Arial"/>
      <family val="2"/>
    </font>
    <font>
      <sz val="9"/>
      <color indexed="8"/>
      <name val="Tahoma"/>
      <family val="2"/>
    </font>
    <font>
      <b/>
      <sz val="9"/>
      <color indexed="8"/>
      <name val="Tahoma"/>
      <family val="2"/>
    </font>
    <font>
      <u/>
      <sz val="12"/>
      <color indexed="12"/>
      <name val="Arial"/>
      <family val="2"/>
    </font>
    <font>
      <sz val="11"/>
      <color theme="0"/>
      <name val="Arial"/>
      <family val="2"/>
    </font>
    <font>
      <sz val="10"/>
      <color theme="0"/>
      <name val="Arial"/>
      <family val="2"/>
    </font>
    <font>
      <sz val="12"/>
      <color theme="0"/>
      <name val="Arial"/>
      <family val="2"/>
    </font>
    <font>
      <sz val="11"/>
      <color rgb="FFF2F2F2"/>
      <name val="Arial"/>
      <family val="2"/>
    </font>
    <font>
      <sz val="10"/>
      <color rgb="FFF2F2F2"/>
      <name val="Arial"/>
      <family val="2"/>
    </font>
    <font>
      <sz val="12"/>
      <color rgb="FFFF6600"/>
      <name val="Arial"/>
      <family val="2"/>
    </font>
  </fonts>
  <fills count="12">
    <fill>
      <patternFill patternType="none"/>
    </fill>
    <fill>
      <patternFill patternType="gray125"/>
    </fill>
    <fill>
      <patternFill patternType="solid">
        <fgColor indexed="22"/>
        <bgColor indexed="64"/>
      </patternFill>
    </fill>
    <fill>
      <patternFill patternType="solid">
        <fgColor rgb="FFFFFFCC"/>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59999389629810485"/>
        <bgColor rgb="FF000000"/>
      </patternFill>
    </fill>
    <fill>
      <patternFill patternType="solid">
        <fgColor rgb="FFFFFFFF"/>
        <bgColor rgb="FF000000"/>
      </patternFill>
    </fill>
    <fill>
      <patternFill patternType="solid">
        <fgColor theme="0"/>
        <bgColor rgb="FF000000"/>
      </patternFill>
    </fill>
    <fill>
      <patternFill patternType="solid">
        <fgColor rgb="FFC0C0C0"/>
        <bgColor rgb="FF000000"/>
      </patternFill>
    </fill>
    <fill>
      <patternFill patternType="solid">
        <fgColor rgb="FFCCFFFF"/>
        <bgColor rgb="FF000000"/>
      </patternFill>
    </fill>
  </fills>
  <borders count="40">
    <border>
      <left/>
      <right/>
      <top/>
      <bottom/>
      <diagonal/>
    </border>
    <border>
      <left/>
      <right style="thin">
        <color indexed="64"/>
      </right>
      <top/>
      <bottom/>
      <diagonal/>
    </border>
    <border>
      <left style="hair">
        <color indexed="55"/>
      </left>
      <right/>
      <top style="thin">
        <color indexed="64"/>
      </top>
      <bottom style="thin">
        <color indexed="64"/>
      </bottom>
      <diagonal/>
    </border>
    <border>
      <left/>
      <right/>
      <top style="thin">
        <color indexed="64"/>
      </top>
      <bottom style="thin">
        <color indexed="64"/>
      </bottom>
      <diagonal/>
    </border>
    <border>
      <left/>
      <right style="hair">
        <color indexed="55"/>
      </right>
      <top style="thin">
        <color indexed="64"/>
      </top>
      <bottom style="thin">
        <color indexed="64"/>
      </bottom>
      <diagonal/>
    </border>
    <border>
      <left style="hair">
        <color indexed="55"/>
      </left>
      <right style="hair">
        <color indexed="55"/>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style="hair">
        <color indexed="55"/>
      </left>
      <right style="hair">
        <color indexed="55"/>
      </right>
      <top style="thin">
        <color indexed="55"/>
      </top>
      <bottom style="thin">
        <color indexed="55"/>
      </bottom>
      <diagonal/>
    </border>
    <border>
      <left/>
      <right/>
      <top/>
      <bottom style="dashed">
        <color indexed="64"/>
      </bottom>
      <diagonal/>
    </border>
    <border>
      <left style="dashed">
        <color indexed="64"/>
      </left>
      <right/>
      <top style="dashed">
        <color indexed="64"/>
      </top>
      <bottom/>
      <diagonal/>
    </border>
    <border>
      <left/>
      <right/>
      <top style="dashed">
        <color indexed="64"/>
      </top>
      <bottom/>
      <diagonal/>
    </border>
    <border>
      <left style="dashed">
        <color indexed="64"/>
      </left>
      <right/>
      <top/>
      <bottom/>
      <diagonal/>
    </border>
    <border>
      <left style="hair">
        <color rgb="FF969696"/>
      </left>
      <right/>
      <top style="thin">
        <color rgb="FF969696"/>
      </top>
      <bottom style="thin">
        <color rgb="FF969696"/>
      </bottom>
      <diagonal/>
    </border>
    <border>
      <left/>
      <right/>
      <top style="thin">
        <color rgb="FF969696"/>
      </top>
      <bottom style="thin">
        <color rgb="FF969696"/>
      </bottom>
      <diagonal/>
    </border>
    <border>
      <left/>
      <right style="hair">
        <color rgb="FF969696"/>
      </right>
      <top style="thin">
        <color rgb="FF969696"/>
      </top>
      <bottom style="thin">
        <color rgb="FF969696"/>
      </bottom>
      <diagonal/>
    </border>
    <border>
      <left style="hair">
        <color rgb="FF969696"/>
      </left>
      <right style="hair">
        <color rgb="FF969696"/>
      </right>
      <top style="thin">
        <color rgb="FF969696"/>
      </top>
      <bottom style="thin">
        <color rgb="FF969696"/>
      </bottom>
      <diagonal/>
    </border>
    <border>
      <left/>
      <right/>
      <top/>
      <bottom style="thin">
        <color rgb="FFFF6600"/>
      </bottom>
      <diagonal/>
    </border>
    <border>
      <left style="thin">
        <color rgb="FFFF6600"/>
      </left>
      <right/>
      <top style="thin">
        <color rgb="FFFF6600"/>
      </top>
      <bottom style="thin">
        <color rgb="FFFF6600"/>
      </bottom>
      <diagonal/>
    </border>
    <border>
      <left/>
      <right/>
      <top style="thin">
        <color rgb="FFFF6600"/>
      </top>
      <bottom style="thin">
        <color rgb="FFFF6600"/>
      </bottom>
      <diagonal/>
    </border>
    <border>
      <left/>
      <right style="thin">
        <color rgb="FFFF6600"/>
      </right>
      <top style="thin">
        <color rgb="FFFF6600"/>
      </top>
      <bottom style="thin">
        <color rgb="FFFF6600"/>
      </bottom>
      <diagonal/>
    </border>
  </borders>
  <cellStyleXfs count="5">
    <xf numFmtId="0" fontId="0" fillId="0" borderId="0"/>
    <xf numFmtId="0" fontId="11" fillId="0" borderId="0" applyNumberFormat="0" applyFill="0" applyBorder="0" applyAlignment="0" applyProtection="0">
      <alignment vertical="top"/>
      <protection locked="0"/>
    </xf>
    <xf numFmtId="0" fontId="4" fillId="0" borderId="0"/>
    <xf numFmtId="0" fontId="1" fillId="0" borderId="0"/>
    <xf numFmtId="0" fontId="1" fillId="0" borderId="0"/>
  </cellStyleXfs>
  <cellXfs count="271">
    <xf numFmtId="0" fontId="0" fillId="0" borderId="0" xfId="0"/>
    <xf numFmtId="2" fontId="6" fillId="3" borderId="0" xfId="0" applyNumberFormat="1" applyFont="1" applyFill="1" applyBorder="1" applyProtection="1">
      <protection locked="0"/>
    </xf>
    <xf numFmtId="0" fontId="2" fillId="4" borderId="0" xfId="3" applyFont="1" applyFill="1" applyBorder="1" applyAlignment="1">
      <alignment vertical="center"/>
    </xf>
    <xf numFmtId="0" fontId="2" fillId="4" borderId="0" xfId="3" applyFont="1" applyFill="1" applyBorder="1" applyAlignment="1">
      <alignment vertical="center" wrapText="1"/>
    </xf>
    <xf numFmtId="0" fontId="2" fillId="4" borderId="0" xfId="3" applyFont="1" applyFill="1" applyAlignment="1">
      <alignment vertical="center"/>
    </xf>
    <xf numFmtId="0" fontId="2" fillId="4" borderId="1" xfId="3" applyFont="1" applyFill="1" applyBorder="1" applyAlignment="1">
      <alignment vertical="center"/>
    </xf>
    <xf numFmtId="0" fontId="2" fillId="0" borderId="0" xfId="3" applyFont="1" applyFill="1" applyAlignment="1">
      <alignment vertical="center"/>
    </xf>
    <xf numFmtId="0" fontId="5" fillId="5" borderId="2" xfId="4" applyFont="1" applyFill="1" applyBorder="1" applyAlignment="1">
      <alignment vertical="center" readingOrder="1"/>
    </xf>
    <xf numFmtId="0" fontId="3" fillId="5" borderId="3" xfId="4" applyFont="1" applyFill="1" applyBorder="1" applyAlignment="1">
      <alignment vertical="center" readingOrder="1"/>
    </xf>
    <xf numFmtId="0" fontId="3" fillId="5" borderId="4" xfId="4" applyFont="1" applyFill="1" applyBorder="1" applyAlignment="1">
      <alignment vertical="center" readingOrder="1"/>
    </xf>
    <xf numFmtId="0" fontId="2" fillId="5" borderId="5" xfId="3" applyFont="1" applyFill="1" applyBorder="1" applyAlignment="1">
      <alignment vertical="center"/>
    </xf>
    <xf numFmtId="0" fontId="2" fillId="5" borderId="5" xfId="3" applyFont="1" applyFill="1" applyBorder="1" applyAlignment="1">
      <alignment vertical="center" wrapText="1"/>
    </xf>
    <xf numFmtId="0" fontId="2" fillId="5" borderId="6" xfId="3" applyFont="1" applyFill="1" applyBorder="1" applyAlignment="1">
      <alignment vertical="center" wrapText="1"/>
    </xf>
    <xf numFmtId="0" fontId="3" fillId="4" borderId="0" xfId="4" applyFont="1" applyFill="1" applyBorder="1" applyAlignment="1">
      <alignment vertical="center" readingOrder="1"/>
    </xf>
    <xf numFmtId="0" fontId="2" fillId="4" borderId="1" xfId="3" applyFont="1" applyFill="1" applyBorder="1" applyAlignment="1">
      <alignment vertical="center" wrapText="1"/>
    </xf>
    <xf numFmtId="0" fontId="3" fillId="6" borderId="3" xfId="4" applyFont="1" applyFill="1" applyBorder="1" applyAlignment="1">
      <alignment vertical="center" readingOrder="1"/>
    </xf>
    <xf numFmtId="0" fontId="3" fillId="6" borderId="7" xfId="4" applyFont="1" applyFill="1" applyBorder="1" applyAlignment="1">
      <alignment vertical="center" readingOrder="1"/>
    </xf>
    <xf numFmtId="0" fontId="3" fillId="6" borderId="8" xfId="4" applyFont="1" applyFill="1" applyBorder="1" applyAlignment="1">
      <alignment vertical="center" readingOrder="1"/>
    </xf>
    <xf numFmtId="0" fontId="2" fillId="6" borderId="9" xfId="4" applyFont="1" applyFill="1" applyBorder="1" applyAlignment="1">
      <alignment vertical="center" readingOrder="1"/>
    </xf>
    <xf numFmtId="0" fontId="3" fillId="6" borderId="10" xfId="4" applyFont="1" applyFill="1" applyBorder="1" applyAlignment="1">
      <alignment vertical="center" readingOrder="1"/>
    </xf>
    <xf numFmtId="0" fontId="3" fillId="6" borderId="11" xfId="4" applyFont="1" applyFill="1" applyBorder="1" applyAlignment="1">
      <alignment vertical="center" readingOrder="1"/>
    </xf>
    <xf numFmtId="0" fontId="2" fillId="4" borderId="0" xfId="3" applyFont="1" applyFill="1"/>
    <xf numFmtId="3" fontId="2" fillId="4" borderId="0" xfId="3" applyNumberFormat="1" applyFont="1" applyFill="1"/>
    <xf numFmtId="0" fontId="5" fillId="4" borderId="0" xfId="3" applyFont="1" applyFill="1" applyBorder="1" applyProtection="1"/>
    <xf numFmtId="0" fontId="1" fillId="4" borderId="0" xfId="3" applyFont="1" applyFill="1" applyBorder="1" applyProtection="1"/>
    <xf numFmtId="0" fontId="6" fillId="4" borderId="0" xfId="3" applyFont="1" applyFill="1" applyBorder="1" applyProtection="1"/>
    <xf numFmtId="0" fontId="6" fillId="4" borderId="1" xfId="3" applyFont="1" applyFill="1" applyBorder="1" applyAlignment="1" applyProtection="1">
      <alignment vertical="center"/>
    </xf>
    <xf numFmtId="0" fontId="1" fillId="0" borderId="0" xfId="3" applyFont="1" applyFill="1" applyBorder="1" applyAlignment="1" applyProtection="1">
      <alignment vertical="center"/>
    </xf>
    <xf numFmtId="0" fontId="10" fillId="4" borderId="0" xfId="3" applyFont="1" applyFill="1" applyBorder="1" applyProtection="1"/>
    <xf numFmtId="0" fontId="6" fillId="4" borderId="1" xfId="3" applyFont="1" applyFill="1" applyBorder="1" applyProtection="1"/>
    <xf numFmtId="0" fontId="6" fillId="4" borderId="8" xfId="3" applyFont="1" applyFill="1" applyBorder="1" applyProtection="1"/>
    <xf numFmtId="0" fontId="6" fillId="7" borderId="12" xfId="3" applyFont="1" applyFill="1" applyBorder="1" applyAlignment="1" applyProtection="1">
      <alignment horizontal="center"/>
    </xf>
    <xf numFmtId="0" fontId="6" fillId="0" borderId="12" xfId="3" applyFont="1" applyBorder="1" applyAlignment="1" applyProtection="1">
      <alignment horizontal="center"/>
    </xf>
    <xf numFmtId="0" fontId="6" fillId="0" borderId="13" xfId="3" applyFont="1" applyBorder="1" applyAlignment="1" applyProtection="1">
      <alignment horizontal="center"/>
    </xf>
    <xf numFmtId="0" fontId="6" fillId="7" borderId="14" xfId="3" applyFont="1" applyFill="1" applyBorder="1" applyAlignment="1" applyProtection="1">
      <alignment horizontal="center"/>
    </xf>
    <xf numFmtId="0" fontId="6" fillId="0" borderId="0" xfId="3" applyFont="1" applyBorder="1" applyProtection="1"/>
    <xf numFmtId="0" fontId="6" fillId="0" borderId="15" xfId="3" applyFont="1" applyBorder="1" applyProtection="1"/>
    <xf numFmtId="2" fontId="6" fillId="7" borderId="16" xfId="3" applyNumberFormat="1" applyFont="1" applyFill="1" applyBorder="1" applyAlignment="1" applyProtection="1">
      <alignment horizontal="center"/>
    </xf>
    <xf numFmtId="2" fontId="6" fillId="0" borderId="16" xfId="3" applyNumberFormat="1" applyFont="1" applyBorder="1" applyAlignment="1" applyProtection="1">
      <alignment horizontal="center"/>
    </xf>
    <xf numFmtId="0" fontId="6" fillId="0" borderId="0" xfId="3" applyFont="1"/>
    <xf numFmtId="2" fontId="6" fillId="3" borderId="0" xfId="3" applyNumberFormat="1" applyFont="1" applyFill="1" applyBorder="1" applyProtection="1">
      <protection locked="0"/>
    </xf>
    <xf numFmtId="0" fontId="1" fillId="4" borderId="0" xfId="3" applyFont="1" applyFill="1" applyBorder="1" applyProtection="1">
      <protection locked="0"/>
    </xf>
    <xf numFmtId="0" fontId="1" fillId="4" borderId="0" xfId="3" applyFont="1" applyFill="1" applyBorder="1" applyAlignment="1" applyProtection="1">
      <alignment wrapText="1"/>
    </xf>
    <xf numFmtId="2" fontId="6" fillId="7" borderId="15" xfId="3" applyNumberFormat="1" applyFont="1" applyFill="1" applyBorder="1" applyAlignment="1" applyProtection="1">
      <alignment horizontal="center"/>
    </xf>
    <xf numFmtId="2" fontId="6" fillId="0" borderId="15" xfId="3" applyNumberFormat="1" applyFont="1" applyBorder="1" applyAlignment="1" applyProtection="1">
      <alignment horizontal="center"/>
    </xf>
    <xf numFmtId="0" fontId="6" fillId="4" borderId="10" xfId="3" applyFont="1" applyFill="1" applyBorder="1" applyAlignment="1" applyProtection="1"/>
    <xf numFmtId="0" fontId="6" fillId="4" borderId="8" xfId="3" applyFont="1" applyFill="1" applyBorder="1" applyAlignment="1" applyProtection="1"/>
    <xf numFmtId="0" fontId="6" fillId="0" borderId="0" xfId="3" applyFont="1" applyFill="1" applyBorder="1" applyProtection="1"/>
    <xf numFmtId="2" fontId="6" fillId="8" borderId="15" xfId="3" applyNumberFormat="1" applyFont="1" applyFill="1" applyBorder="1" applyAlignment="1" applyProtection="1">
      <alignment horizontal="center"/>
    </xf>
    <xf numFmtId="0" fontId="6" fillId="4" borderId="0" xfId="3" applyFont="1" applyFill="1" applyBorder="1" applyProtection="1">
      <protection locked="0"/>
    </xf>
    <xf numFmtId="0" fontId="6" fillId="4" borderId="0" xfId="3" applyFont="1" applyFill="1" applyBorder="1" applyAlignment="1" applyProtection="1">
      <alignment wrapText="1"/>
    </xf>
    <xf numFmtId="2" fontId="6" fillId="0" borderId="17" xfId="3" applyNumberFormat="1" applyFont="1" applyBorder="1" applyAlignment="1" applyProtection="1">
      <alignment horizontal="center"/>
    </xf>
    <xf numFmtId="2" fontId="6" fillId="7" borderId="17" xfId="3" applyNumberFormat="1" applyFont="1" applyFill="1" applyBorder="1" applyAlignment="1" applyProtection="1">
      <alignment horizontal="center"/>
    </xf>
    <xf numFmtId="2" fontId="6" fillId="8" borderId="18" xfId="3" applyNumberFormat="1" applyFont="1" applyFill="1" applyBorder="1" applyAlignment="1" applyProtection="1">
      <alignment horizontal="center"/>
    </xf>
    <xf numFmtId="2" fontId="6" fillId="8" borderId="19" xfId="3" applyNumberFormat="1" applyFont="1" applyFill="1" applyBorder="1" applyAlignment="1" applyProtection="1">
      <alignment horizontal="center"/>
    </xf>
    <xf numFmtId="2" fontId="6" fillId="8" borderId="20" xfId="3" applyNumberFormat="1" applyFont="1" applyFill="1" applyBorder="1" applyAlignment="1" applyProtection="1">
      <alignment horizontal="center"/>
    </xf>
    <xf numFmtId="0" fontId="6" fillId="4" borderId="0" xfId="3" applyFont="1" applyFill="1"/>
    <xf numFmtId="2" fontId="6" fillId="8" borderId="9" xfId="3" applyNumberFormat="1" applyFont="1" applyFill="1" applyBorder="1" applyAlignment="1" applyProtection="1">
      <alignment horizontal="center"/>
    </xf>
    <xf numFmtId="2" fontId="6" fillId="8" borderId="1" xfId="3" applyNumberFormat="1" applyFont="1" applyFill="1" applyBorder="1" applyAlignment="1" applyProtection="1">
      <alignment horizontal="center"/>
    </xf>
    <xf numFmtId="0" fontId="6" fillId="0" borderId="21" xfId="3" applyFont="1" applyBorder="1" applyProtection="1"/>
    <xf numFmtId="0" fontId="6" fillId="0" borderId="22" xfId="3" applyFont="1" applyBorder="1" applyProtection="1"/>
    <xf numFmtId="2" fontId="5" fillId="7" borderId="23" xfId="3" applyNumberFormat="1" applyFont="1" applyFill="1" applyBorder="1" applyAlignment="1" applyProtection="1">
      <alignment horizontal="center"/>
    </xf>
    <xf numFmtId="2" fontId="5" fillId="0" borderId="23" xfId="3" applyNumberFormat="1" applyFont="1" applyBorder="1" applyAlignment="1" applyProtection="1">
      <alignment horizontal="center"/>
    </xf>
    <xf numFmtId="2" fontId="5" fillId="0" borderId="24" xfId="3" applyNumberFormat="1" applyFont="1" applyBorder="1" applyAlignment="1" applyProtection="1">
      <alignment horizontal="center"/>
    </xf>
    <xf numFmtId="2" fontId="5" fillId="7" borderId="25" xfId="3" applyNumberFormat="1" applyFont="1" applyFill="1" applyBorder="1" applyAlignment="1" applyProtection="1">
      <alignment horizontal="center"/>
    </xf>
    <xf numFmtId="2" fontId="6" fillId="4" borderId="0" xfId="3" applyNumberFormat="1" applyFont="1" applyFill="1" applyBorder="1" applyProtection="1"/>
    <xf numFmtId="0" fontId="6" fillId="4" borderId="0" xfId="3" applyFont="1" applyFill="1" applyBorder="1" applyAlignment="1" applyProtection="1">
      <alignment horizontal="center"/>
    </xf>
    <xf numFmtId="0" fontId="5" fillId="0" borderId="18" xfId="3" applyFont="1" applyBorder="1" applyProtection="1"/>
    <xf numFmtId="171" fontId="5" fillId="7" borderId="3" xfId="3" applyNumberFormat="1" applyFont="1" applyFill="1" applyBorder="1" applyAlignment="1" applyProtection="1">
      <alignment horizontal="center"/>
    </xf>
    <xf numFmtId="171" fontId="6" fillId="0" borderId="7" xfId="3" applyNumberFormat="1" applyFont="1" applyBorder="1" applyAlignment="1" applyProtection="1">
      <alignment horizontal="center"/>
    </xf>
    <xf numFmtId="0" fontId="1" fillId="4" borderId="0" xfId="3" applyFont="1" applyFill="1" applyBorder="1" applyAlignment="1" applyProtection="1">
      <alignment vertical="center"/>
    </xf>
    <xf numFmtId="0" fontId="1" fillId="0" borderId="0" xfId="3" applyProtection="1">
      <protection locked="0"/>
    </xf>
    <xf numFmtId="2" fontId="6" fillId="9" borderId="0" xfId="3" applyNumberFormat="1" applyFont="1" applyFill="1" applyBorder="1" applyAlignment="1" applyProtection="1">
      <alignment horizontal="center"/>
    </xf>
    <xf numFmtId="2" fontId="6" fillId="4" borderId="0" xfId="3" applyNumberFormat="1" applyFont="1" applyFill="1" applyBorder="1" applyAlignment="1" applyProtection="1">
      <alignment horizontal="center"/>
    </xf>
    <xf numFmtId="2" fontId="6" fillId="4" borderId="0" xfId="3" applyNumberFormat="1" applyFont="1" applyFill="1" applyBorder="1" applyAlignment="1" applyProtection="1">
      <alignment horizontal="center" vertical="center"/>
    </xf>
    <xf numFmtId="2" fontId="6" fillId="4" borderId="0" xfId="3" applyNumberFormat="1" applyFont="1" applyFill="1" applyBorder="1" applyProtection="1">
      <protection locked="0"/>
    </xf>
    <xf numFmtId="0" fontId="1" fillId="4" borderId="1" xfId="3" applyFont="1" applyFill="1" applyBorder="1" applyAlignment="1" applyProtection="1">
      <alignment vertical="center"/>
    </xf>
    <xf numFmtId="9" fontId="6" fillId="4" borderId="0" xfId="3" applyNumberFormat="1" applyFont="1" applyFill="1"/>
    <xf numFmtId="2" fontId="6" fillId="4" borderId="0" xfId="3" applyNumberFormat="1" applyFont="1" applyFill="1" applyProtection="1">
      <protection locked="0"/>
    </xf>
    <xf numFmtId="3" fontId="1" fillId="4" borderId="0" xfId="3" applyNumberFormat="1" applyFont="1" applyFill="1"/>
    <xf numFmtId="0" fontId="1" fillId="0" borderId="0" xfId="3" applyFont="1" applyFill="1" applyBorder="1" applyProtection="1"/>
    <xf numFmtId="2" fontId="5" fillId="4" borderId="0" xfId="3" applyNumberFormat="1" applyFont="1" applyFill="1" applyBorder="1" applyAlignment="1" applyProtection="1">
      <alignment horizontal="center"/>
    </xf>
    <xf numFmtId="2" fontId="5" fillId="9" borderId="0" xfId="3" applyNumberFormat="1" applyFont="1" applyFill="1" applyBorder="1" applyAlignment="1" applyProtection="1">
      <alignment horizontal="center"/>
    </xf>
    <xf numFmtId="170" fontId="6" fillId="3" borderId="0" xfId="3" applyNumberFormat="1" applyFont="1" applyFill="1" applyBorder="1" applyProtection="1">
      <protection locked="0"/>
    </xf>
    <xf numFmtId="2" fontId="6" fillId="3" borderId="0" xfId="3" applyNumberFormat="1" applyFont="1" applyFill="1" applyBorder="1" applyAlignment="1" applyProtection="1">
      <alignment horizontal="right" vertical="top" wrapText="1"/>
      <protection locked="0"/>
    </xf>
    <xf numFmtId="0" fontId="5" fillId="0" borderId="0" xfId="3" applyFont="1" applyBorder="1" applyAlignment="1" applyProtection="1">
      <alignment wrapText="1"/>
    </xf>
    <xf numFmtId="171" fontId="5" fillId="9" borderId="0" xfId="3" applyNumberFormat="1" applyFont="1" applyFill="1" applyBorder="1" applyAlignment="1" applyProtection="1">
      <alignment horizontal="center" vertical="center"/>
    </xf>
    <xf numFmtId="171" fontId="6" fillId="0" borderId="0" xfId="3" applyNumberFormat="1" applyFont="1" applyBorder="1" applyAlignment="1" applyProtection="1">
      <alignment horizontal="center" vertical="center"/>
    </xf>
    <xf numFmtId="0" fontId="1" fillId="4" borderId="1" xfId="3" applyFont="1" applyFill="1" applyBorder="1" applyProtection="1"/>
    <xf numFmtId="0" fontId="1" fillId="0" borderId="0" xfId="3" applyFont="1" applyBorder="1" applyProtection="1"/>
    <xf numFmtId="171" fontId="6" fillId="0" borderId="7" xfId="3" applyNumberFormat="1" applyFont="1" applyBorder="1" applyAlignment="1" applyProtection="1">
      <alignment horizontal="center" vertical="center"/>
    </xf>
    <xf numFmtId="0" fontId="5" fillId="0" borderId="0" xfId="3" applyFont="1" applyProtection="1"/>
    <xf numFmtId="0" fontId="6" fillId="4" borderId="0" xfId="3" applyFont="1" applyFill="1" applyBorder="1" applyAlignment="1" applyProtection="1">
      <alignment horizontal="left" vertical="center"/>
    </xf>
    <xf numFmtId="0" fontId="6" fillId="4" borderId="1" xfId="3" applyFont="1" applyFill="1" applyBorder="1" applyAlignment="1" applyProtection="1">
      <alignment horizontal="left" vertical="center"/>
    </xf>
    <xf numFmtId="0" fontId="6" fillId="4" borderId="1" xfId="3" applyFont="1" applyFill="1" applyBorder="1" applyAlignment="1" applyProtection="1">
      <alignment horizontal="left" vertical="center" wrapText="1"/>
    </xf>
    <xf numFmtId="0" fontId="12" fillId="4" borderId="0" xfId="3" applyFont="1" applyFill="1" applyBorder="1" applyAlignment="1" applyProtection="1">
      <alignment vertical="center"/>
    </xf>
    <xf numFmtId="0" fontId="12" fillId="4" borderId="0" xfId="3" applyFont="1" applyFill="1" applyBorder="1" applyProtection="1"/>
    <xf numFmtId="0" fontId="6" fillId="4" borderId="26" xfId="3" applyFont="1" applyFill="1" applyBorder="1" applyAlignment="1" applyProtection="1">
      <alignment vertical="top"/>
    </xf>
    <xf numFmtId="0" fontId="2" fillId="4" borderId="26" xfId="3" applyFont="1" applyFill="1" applyBorder="1" applyAlignment="1">
      <alignment vertical="center"/>
    </xf>
    <xf numFmtId="0" fontId="1" fillId="4" borderId="26" xfId="3" applyFont="1" applyFill="1" applyBorder="1" applyAlignment="1" applyProtection="1"/>
    <xf numFmtId="0" fontId="6" fillId="4" borderId="26" xfId="3" applyFont="1" applyFill="1" applyBorder="1" applyAlignment="1" applyProtection="1">
      <alignment horizontal="left" vertical="center" wrapText="1"/>
    </xf>
    <xf numFmtId="0" fontId="2" fillId="0" borderId="20" xfId="3" applyFont="1" applyFill="1" applyBorder="1" applyAlignment="1">
      <alignment vertical="center"/>
    </xf>
    <xf numFmtId="0" fontId="2" fillId="0" borderId="1" xfId="3" applyFont="1" applyFill="1" applyBorder="1" applyAlignment="1">
      <alignment vertical="center"/>
    </xf>
    <xf numFmtId="0" fontId="6" fillId="0" borderId="0" xfId="3" applyFont="1" applyBorder="1" applyAlignment="1" applyProtection="1">
      <alignment horizontal="left" vertical="center" wrapText="1"/>
    </xf>
    <xf numFmtId="0" fontId="1" fillId="0" borderId="0" xfId="3" applyFont="1" applyBorder="1" applyAlignment="1" applyProtection="1"/>
    <xf numFmtId="0" fontId="1" fillId="4" borderId="0" xfId="3" applyFill="1"/>
    <xf numFmtId="0" fontId="1" fillId="0" borderId="0" xfId="3"/>
    <xf numFmtId="0" fontId="11" fillId="4" borderId="0" xfId="1" applyFill="1" applyBorder="1" applyAlignment="1" applyProtection="1">
      <alignment vertical="center"/>
    </xf>
    <xf numFmtId="0" fontId="3" fillId="4" borderId="0" xfId="3" applyFont="1" applyFill="1"/>
    <xf numFmtId="0" fontId="2" fillId="4" borderId="0" xfId="3" applyFont="1" applyFill="1" applyAlignment="1">
      <alignment horizontal="left" wrapText="1"/>
    </xf>
    <xf numFmtId="0" fontId="1" fillId="4" borderId="0" xfId="3" applyFont="1" applyFill="1"/>
    <xf numFmtId="0" fontId="2" fillId="4" borderId="0" xfId="3" applyFont="1" applyFill="1" applyBorder="1" applyAlignment="1">
      <alignment horizontal="left" wrapText="1"/>
    </xf>
    <xf numFmtId="0" fontId="1" fillId="0" borderId="15" xfId="3" applyFont="1" applyBorder="1" applyAlignment="1">
      <alignment horizontal="left" wrapText="1"/>
    </xf>
    <xf numFmtId="0" fontId="2" fillId="4" borderId="0" xfId="3" applyFont="1" applyFill="1" applyAlignment="1">
      <alignment horizontal="justify"/>
    </xf>
    <xf numFmtId="0" fontId="2" fillId="0" borderId="0" xfId="3" applyFont="1" applyAlignment="1">
      <alignment horizontal="left" wrapText="1"/>
    </xf>
    <xf numFmtId="0" fontId="3" fillId="4" borderId="0" xfId="3" applyFont="1" applyFill="1" applyAlignment="1">
      <alignment horizontal="left" wrapText="1"/>
    </xf>
    <xf numFmtId="0" fontId="2" fillId="4" borderId="0" xfId="3" applyFont="1" applyFill="1" applyAlignment="1">
      <alignment wrapText="1"/>
    </xf>
    <xf numFmtId="0" fontId="2" fillId="0" borderId="0" xfId="3" applyFont="1" applyAlignment="1">
      <alignment horizontal="justify" vertical="center"/>
    </xf>
    <xf numFmtId="0" fontId="2" fillId="0" borderId="0" xfId="3" applyFont="1" applyAlignment="1">
      <alignment vertical="top" wrapText="1"/>
    </xf>
    <xf numFmtId="0" fontId="2" fillId="0" borderId="0" xfId="3" applyFont="1" applyAlignment="1">
      <alignment wrapText="1"/>
    </xf>
    <xf numFmtId="0" fontId="12" fillId="0" borderId="0" xfId="1" applyFont="1" applyAlignment="1" applyProtection="1">
      <alignment vertical="center"/>
    </xf>
    <xf numFmtId="0" fontId="5" fillId="6" borderId="18" xfId="4" applyFont="1" applyFill="1" applyBorder="1" applyAlignment="1">
      <alignment vertical="center" readingOrder="1"/>
    </xf>
    <xf numFmtId="0" fontId="6" fillId="4" borderId="0" xfId="3" applyFont="1" applyFill="1" applyBorder="1" applyAlignment="1" applyProtection="1">
      <alignment vertical="center"/>
    </xf>
    <xf numFmtId="0" fontId="21" fillId="0" borderId="0" xfId="3" applyFont="1" applyFill="1" applyAlignment="1">
      <alignment vertical="center"/>
    </xf>
    <xf numFmtId="0" fontId="21" fillId="4" borderId="0" xfId="3" applyFont="1" applyFill="1" applyAlignment="1">
      <alignment vertical="center"/>
    </xf>
    <xf numFmtId="0" fontId="22" fillId="0" borderId="0" xfId="3" applyFont="1" applyFill="1" applyBorder="1" applyAlignment="1" applyProtection="1">
      <alignment vertical="center"/>
    </xf>
    <xf numFmtId="2" fontId="22" fillId="0" borderId="0" xfId="3" applyNumberFormat="1" applyFont="1" applyFill="1" applyBorder="1" applyAlignment="1" applyProtection="1">
      <alignment vertical="center"/>
    </xf>
    <xf numFmtId="0" fontId="22" fillId="0" borderId="0" xfId="3" applyFont="1" applyFill="1" applyBorder="1" applyProtection="1"/>
    <xf numFmtId="0" fontId="22" fillId="0" borderId="0" xfId="3" applyFont="1" applyBorder="1" applyProtection="1"/>
    <xf numFmtId="0" fontId="23" fillId="0" borderId="0" xfId="3" applyFont="1" applyBorder="1" applyProtection="1"/>
    <xf numFmtId="0" fontId="23" fillId="0" borderId="0" xfId="3" applyFont="1" applyFill="1" applyBorder="1" applyProtection="1"/>
    <xf numFmtId="0" fontId="6" fillId="4" borderId="0" xfId="3" applyFont="1" applyFill="1" applyAlignment="1" applyProtection="1">
      <alignment vertical="center"/>
    </xf>
    <xf numFmtId="0" fontId="6" fillId="4" borderId="0" xfId="3" applyFont="1" applyFill="1" applyBorder="1" applyAlignment="1" applyProtection="1">
      <alignment horizontal="left" vertical="center"/>
    </xf>
    <xf numFmtId="0" fontId="6" fillId="4" borderId="1" xfId="3" applyFont="1" applyFill="1" applyBorder="1" applyAlignment="1" applyProtection="1">
      <alignment horizontal="left" vertical="center"/>
    </xf>
    <xf numFmtId="0" fontId="6" fillId="4" borderId="26" xfId="3" applyFont="1" applyFill="1" applyBorder="1" applyAlignment="1" applyProtection="1">
      <alignment horizontal="left" vertical="center" wrapText="1"/>
    </xf>
    <xf numFmtId="0" fontId="6" fillId="4" borderId="1" xfId="3" applyFont="1" applyFill="1" applyBorder="1" applyAlignment="1" applyProtection="1">
      <alignment horizontal="left" vertical="center" wrapText="1"/>
    </xf>
    <xf numFmtId="0" fontId="2" fillId="4" borderId="0" xfId="3" applyFont="1" applyFill="1" applyBorder="1" applyAlignment="1">
      <alignment vertical="center" wrapText="1"/>
    </xf>
    <xf numFmtId="0" fontId="6" fillId="4" borderId="0" xfId="3" applyFont="1" applyFill="1" applyBorder="1" applyAlignment="1" applyProtection="1">
      <alignment horizontal="center"/>
    </xf>
    <xf numFmtId="0" fontId="2" fillId="8" borderId="0" xfId="0" applyFont="1" applyFill="1" applyBorder="1" applyAlignment="1">
      <alignment vertical="center"/>
    </xf>
    <xf numFmtId="0" fontId="2" fillId="8" borderId="0" xfId="0" applyFont="1" applyFill="1" applyBorder="1" applyAlignment="1">
      <alignment vertical="center" wrapText="1"/>
    </xf>
    <xf numFmtId="0" fontId="2" fillId="0" borderId="0" xfId="0" applyFont="1" applyFill="1" applyBorder="1" applyAlignment="1">
      <alignment vertical="center"/>
    </xf>
    <xf numFmtId="0" fontId="3" fillId="10" borderId="32" xfId="4" applyFont="1" applyFill="1" applyBorder="1" applyAlignment="1">
      <alignment vertical="center" readingOrder="1"/>
    </xf>
    <xf numFmtId="0" fontId="3" fillId="10" borderId="33" xfId="4" applyFont="1" applyFill="1" applyBorder="1" applyAlignment="1">
      <alignment vertical="center" readingOrder="1"/>
    </xf>
    <xf numFmtId="0" fontId="3" fillId="10" borderId="34" xfId="4" applyFont="1" applyFill="1" applyBorder="1" applyAlignment="1">
      <alignment vertical="center" readingOrder="1"/>
    </xf>
    <xf numFmtId="0" fontId="2" fillId="10" borderId="35" xfId="0" applyFont="1" applyFill="1" applyBorder="1" applyAlignment="1">
      <alignment vertical="center"/>
    </xf>
    <xf numFmtId="0" fontId="2" fillId="10" borderId="35" xfId="0" applyFont="1" applyFill="1" applyBorder="1" applyAlignment="1">
      <alignment vertical="center" wrapText="1"/>
    </xf>
    <xf numFmtId="0" fontId="2" fillId="8" borderId="0" xfId="0" applyFont="1" applyFill="1" applyBorder="1"/>
    <xf numFmtId="3" fontId="2" fillId="8" borderId="0" xfId="0" applyNumberFormat="1" applyFont="1" applyFill="1" applyBorder="1"/>
    <xf numFmtId="0" fontId="24" fillId="0" borderId="0" xfId="0" applyFont="1" applyFill="1" applyBorder="1" applyAlignment="1">
      <alignment vertical="center"/>
    </xf>
    <xf numFmtId="0" fontId="5" fillId="8" borderId="0" xfId="0" applyFont="1" applyFill="1" applyBorder="1" applyProtection="1"/>
    <xf numFmtId="0" fontId="1" fillId="8" borderId="0" xfId="0" applyFont="1" applyFill="1" applyBorder="1" applyProtection="1"/>
    <xf numFmtId="0" fontId="14" fillId="8" borderId="0" xfId="0" applyFont="1" applyFill="1" applyBorder="1" applyProtection="1"/>
    <xf numFmtId="0" fontId="6" fillId="8" borderId="0" xfId="0" applyFont="1" applyFill="1" applyBorder="1" applyProtection="1"/>
    <xf numFmtId="0" fontId="6" fillId="8" borderId="0" xfId="0" applyFont="1" applyFill="1" applyBorder="1" applyAlignment="1" applyProtection="1">
      <alignment vertical="center"/>
    </xf>
    <xf numFmtId="0" fontId="25" fillId="0" borderId="0" xfId="0" applyFont="1" applyFill="1" applyBorder="1" applyAlignment="1" applyProtection="1">
      <alignment vertical="center"/>
    </xf>
    <xf numFmtId="0" fontId="1" fillId="0" borderId="0" xfId="0" applyFont="1" applyFill="1" applyBorder="1" applyAlignment="1" applyProtection="1">
      <alignment vertical="center"/>
    </xf>
    <xf numFmtId="0" fontId="6" fillId="8" borderId="1" xfId="0" applyFont="1" applyFill="1" applyBorder="1" applyProtection="1"/>
    <xf numFmtId="0" fontId="6" fillId="8" borderId="8" xfId="0" applyFont="1" applyFill="1" applyBorder="1" applyProtection="1"/>
    <xf numFmtId="0" fontId="6" fillId="0" borderId="13" xfId="0" applyFont="1" applyFill="1" applyBorder="1" applyAlignment="1" applyProtection="1">
      <alignment horizontal="center"/>
    </xf>
    <xf numFmtId="0" fontId="6" fillId="11" borderId="14" xfId="0" applyFont="1" applyFill="1" applyBorder="1" applyAlignment="1" applyProtection="1">
      <alignment horizontal="center"/>
    </xf>
    <xf numFmtId="0" fontId="6" fillId="0" borderId="0" xfId="0" applyFont="1" applyFill="1" applyBorder="1" applyProtection="1"/>
    <xf numFmtId="0" fontId="6" fillId="0" borderId="15" xfId="0" applyFont="1" applyFill="1" applyBorder="1" applyProtection="1"/>
    <xf numFmtId="2" fontId="6" fillId="0" borderId="16" xfId="0" applyNumberFormat="1" applyFont="1" applyFill="1" applyBorder="1" applyAlignment="1" applyProtection="1">
      <alignment horizontal="center"/>
    </xf>
    <xf numFmtId="2" fontId="6" fillId="11" borderId="16" xfId="0" applyNumberFormat="1" applyFont="1" applyFill="1" applyBorder="1" applyAlignment="1" applyProtection="1">
      <alignment horizontal="center"/>
    </xf>
    <xf numFmtId="0" fontId="1" fillId="8" borderId="0" xfId="0" applyFont="1" applyFill="1" applyBorder="1" applyAlignment="1" applyProtection="1">
      <alignment wrapText="1"/>
    </xf>
    <xf numFmtId="0" fontId="6" fillId="8" borderId="15" xfId="0" applyFont="1" applyFill="1" applyBorder="1" applyProtection="1"/>
    <xf numFmtId="2" fontId="6" fillId="0" borderId="15" xfId="0" applyNumberFormat="1" applyFont="1" applyFill="1" applyBorder="1" applyAlignment="1" applyProtection="1">
      <alignment horizontal="center"/>
    </xf>
    <xf numFmtId="2" fontId="6" fillId="11" borderId="1" xfId="0" applyNumberFormat="1" applyFont="1" applyFill="1" applyBorder="1" applyAlignment="1" applyProtection="1">
      <alignment horizontal="center"/>
    </xf>
    <xf numFmtId="2" fontId="6" fillId="11" borderId="15" xfId="0" applyNumberFormat="1" applyFont="1" applyFill="1" applyBorder="1" applyAlignment="1" applyProtection="1">
      <alignment horizontal="center"/>
    </xf>
    <xf numFmtId="0" fontId="6" fillId="8" borderId="0" xfId="0" applyFont="1" applyFill="1" applyBorder="1" applyProtection="1">
      <protection locked="0"/>
    </xf>
    <xf numFmtId="0" fontId="6" fillId="8" borderId="0" xfId="0" applyFont="1" applyFill="1" applyBorder="1" applyAlignment="1" applyProtection="1">
      <alignment wrapText="1"/>
    </xf>
    <xf numFmtId="0" fontId="6" fillId="0" borderId="16" xfId="0" applyFont="1" applyFill="1" applyBorder="1" applyProtection="1"/>
    <xf numFmtId="2" fontId="5" fillId="0" borderId="15" xfId="0" applyNumberFormat="1" applyFont="1" applyFill="1" applyBorder="1" applyAlignment="1" applyProtection="1">
      <alignment horizontal="center"/>
    </xf>
    <xf numFmtId="2" fontId="5" fillId="11" borderId="15" xfId="0" applyNumberFormat="1" applyFont="1" applyFill="1" applyBorder="1" applyAlignment="1" applyProtection="1">
      <alignment horizontal="center"/>
    </xf>
    <xf numFmtId="0" fontId="1" fillId="8" borderId="28" xfId="0" applyFont="1" applyFill="1" applyBorder="1" applyProtection="1"/>
    <xf numFmtId="0" fontId="6" fillId="0" borderId="28" xfId="0" applyFont="1" applyFill="1" applyBorder="1" applyProtection="1"/>
    <xf numFmtId="0" fontId="6" fillId="8" borderId="28" xfId="0" applyFont="1" applyFill="1" applyBorder="1" applyProtection="1"/>
    <xf numFmtId="0" fontId="6" fillId="8" borderId="28" xfId="0" applyFont="1" applyFill="1" applyBorder="1" applyAlignment="1" applyProtection="1">
      <alignment vertical="center"/>
    </xf>
    <xf numFmtId="0" fontId="1" fillId="8" borderId="29" xfId="0" applyFont="1" applyFill="1" applyBorder="1" applyProtection="1"/>
    <xf numFmtId="0" fontId="14" fillId="8" borderId="30" xfId="0" applyFont="1" applyFill="1" applyBorder="1" applyProtection="1"/>
    <xf numFmtId="0" fontId="6" fillId="8" borderId="30" xfId="0" applyFont="1" applyFill="1" applyBorder="1" applyProtection="1"/>
    <xf numFmtId="0" fontId="6" fillId="8" borderId="30" xfId="0" applyFont="1" applyFill="1" applyBorder="1" applyAlignment="1" applyProtection="1">
      <alignment vertical="center"/>
    </xf>
    <xf numFmtId="0" fontId="1" fillId="8" borderId="31" xfId="0" applyFont="1" applyFill="1" applyBorder="1" applyProtection="1"/>
    <xf numFmtId="0" fontId="6" fillId="8" borderId="0" xfId="0" applyFont="1" applyFill="1" applyBorder="1" applyAlignment="1" applyProtection="1">
      <alignment horizontal="center"/>
    </xf>
    <xf numFmtId="2" fontId="6" fillId="8" borderId="0" xfId="0" applyNumberFormat="1" applyFont="1" applyFill="1" applyBorder="1" applyProtection="1"/>
    <xf numFmtId="2" fontId="6" fillId="8" borderId="0" xfId="0" applyNumberFormat="1" applyFont="1" applyFill="1" applyBorder="1" applyProtection="1">
      <protection locked="0"/>
    </xf>
    <xf numFmtId="0" fontId="16" fillId="8" borderId="0" xfId="0" applyFont="1" applyFill="1" applyBorder="1" applyProtection="1"/>
    <xf numFmtId="0" fontId="6" fillId="0" borderId="10" xfId="0" applyFont="1" applyFill="1" applyBorder="1" applyAlignment="1" applyProtection="1">
      <alignment horizontal="center"/>
    </xf>
    <xf numFmtId="0" fontId="6" fillId="11" borderId="8" xfId="0" applyFont="1" applyFill="1" applyBorder="1" applyAlignment="1" applyProtection="1">
      <alignment horizontal="center"/>
    </xf>
    <xf numFmtId="0" fontId="6" fillId="0" borderId="15" xfId="0" applyFont="1" applyFill="1" applyBorder="1" applyAlignment="1" applyProtection="1">
      <alignment wrapText="1"/>
    </xf>
    <xf numFmtId="3" fontId="2" fillId="8" borderId="16" xfId="0" applyNumberFormat="1" applyFont="1" applyFill="1" applyBorder="1"/>
    <xf numFmtId="4" fontId="6" fillId="0" borderId="16" xfId="0" applyNumberFormat="1" applyFont="1" applyFill="1" applyBorder="1" applyAlignment="1" applyProtection="1">
      <alignment horizontal="center"/>
    </xf>
    <xf numFmtId="4" fontId="6" fillId="11" borderId="16" xfId="0" applyNumberFormat="1" applyFont="1" applyFill="1" applyBorder="1" applyAlignment="1" applyProtection="1">
      <alignment horizontal="center"/>
    </xf>
    <xf numFmtId="3" fontId="2" fillId="8" borderId="15" xfId="0" applyNumberFormat="1" applyFont="1" applyFill="1" applyBorder="1"/>
    <xf numFmtId="2" fontId="25" fillId="0" borderId="0" xfId="0" applyNumberFormat="1" applyFont="1" applyFill="1" applyBorder="1" applyAlignment="1" applyProtection="1">
      <alignment vertical="center"/>
    </xf>
    <xf numFmtId="4" fontId="2" fillId="8" borderId="0" xfId="0" applyNumberFormat="1" applyFont="1" applyFill="1" applyBorder="1"/>
    <xf numFmtId="4" fontId="6" fillId="8" borderId="0" xfId="0" applyNumberFormat="1" applyFont="1" applyFill="1" applyBorder="1" applyAlignment="1" applyProtection="1">
      <alignment vertical="center"/>
    </xf>
    <xf numFmtId="0" fontId="6" fillId="0" borderId="18" xfId="0" applyFont="1" applyFill="1" applyBorder="1" applyProtection="1"/>
    <xf numFmtId="0" fontId="2" fillId="8" borderId="3" xfId="0" applyFont="1" applyFill="1" applyBorder="1"/>
    <xf numFmtId="4" fontId="6" fillId="0" borderId="15" xfId="0" applyNumberFormat="1" applyFont="1" applyFill="1" applyBorder="1" applyAlignment="1" applyProtection="1">
      <alignment horizontal="center"/>
    </xf>
    <xf numFmtId="4" fontId="6" fillId="11" borderId="15" xfId="0" applyNumberFormat="1" applyFont="1" applyFill="1" applyBorder="1" applyAlignment="1" applyProtection="1">
      <alignment horizontal="center"/>
    </xf>
    <xf numFmtId="0" fontId="2" fillId="8" borderId="26" xfId="0" applyFont="1" applyFill="1" applyBorder="1"/>
    <xf numFmtId="0" fontId="6" fillId="8" borderId="0" xfId="0" applyFont="1" applyFill="1" applyBorder="1"/>
    <xf numFmtId="9" fontId="6" fillId="8" borderId="0" xfId="0" applyNumberFormat="1" applyFont="1" applyFill="1" applyBorder="1"/>
    <xf numFmtId="2" fontId="6" fillId="8" borderId="0" xfId="0" applyNumberFormat="1" applyFont="1" applyFill="1" applyBorder="1"/>
    <xf numFmtId="3" fontId="1" fillId="8" borderId="0" xfId="0" applyNumberFormat="1" applyFont="1" applyFill="1" applyBorder="1"/>
    <xf numFmtId="0" fontId="2" fillId="8" borderId="31" xfId="0" applyFont="1" applyFill="1" applyBorder="1"/>
    <xf numFmtId="0" fontId="2" fillId="8" borderId="11" xfId="0" applyFont="1" applyFill="1" applyBorder="1"/>
    <xf numFmtId="2" fontId="6" fillId="3" borderId="0" xfId="0" applyNumberFormat="1" applyFont="1" applyFill="1" applyBorder="1" applyAlignment="1" applyProtection="1">
      <alignment horizontal="right" vertical="top" wrapText="1"/>
      <protection locked="0"/>
    </xf>
    <xf numFmtId="3" fontId="2" fillId="8" borderId="31" xfId="0" applyNumberFormat="1" applyFont="1" applyFill="1" applyBorder="1"/>
    <xf numFmtId="4" fontId="6" fillId="0" borderId="24" xfId="0" applyNumberFormat="1" applyFont="1" applyFill="1" applyBorder="1" applyAlignment="1" applyProtection="1">
      <alignment horizontal="center"/>
    </xf>
    <xf numFmtId="4" fontId="6" fillId="11" borderId="25" xfId="0" applyNumberFormat="1" applyFont="1" applyFill="1" applyBorder="1" applyAlignment="1" applyProtection="1">
      <alignment horizontal="center"/>
    </xf>
    <xf numFmtId="0" fontId="1" fillId="0" borderId="0" xfId="0" applyFont="1" applyFill="1" applyBorder="1" applyProtection="1"/>
    <xf numFmtId="0" fontId="5" fillId="0" borderId="18" xfId="0" applyFont="1" applyFill="1" applyBorder="1" applyProtection="1"/>
    <xf numFmtId="0" fontId="20" fillId="0" borderId="0" xfId="1" applyFont="1" applyAlignment="1" applyProtection="1"/>
    <xf numFmtId="0" fontId="5" fillId="4" borderId="0" xfId="0" applyFont="1" applyFill="1" applyBorder="1" applyProtection="1"/>
    <xf numFmtId="0" fontId="1" fillId="4" borderId="0" xfId="0" applyFont="1" applyFill="1" applyBorder="1" applyProtection="1"/>
    <xf numFmtId="0" fontId="6" fillId="4" borderId="0" xfId="0" applyFont="1" applyFill="1" applyBorder="1" applyAlignment="1" applyProtection="1">
      <alignment horizontal="left" wrapText="1"/>
    </xf>
    <xf numFmtId="0" fontId="5" fillId="4" borderId="0" xfId="0" applyFont="1" applyFill="1" applyBorder="1" applyAlignment="1">
      <alignment vertical="top"/>
    </xf>
    <xf numFmtId="0" fontId="2" fillId="4" borderId="0" xfId="0" applyFont="1" applyFill="1" applyBorder="1" applyAlignment="1">
      <alignment vertical="center"/>
    </xf>
    <xf numFmtId="0" fontId="3" fillId="4" borderId="0" xfId="0" applyFont="1" applyFill="1" applyBorder="1" applyAlignment="1">
      <alignment vertical="top"/>
    </xf>
    <xf numFmtId="0" fontId="20" fillId="0" borderId="0" xfId="1" applyFont="1" applyAlignment="1" applyProtection="1">
      <alignment vertical="center"/>
    </xf>
    <xf numFmtId="0" fontId="20" fillId="4" borderId="0" xfId="1" applyFont="1" applyFill="1" applyAlignment="1" applyProtection="1">
      <alignment vertical="center"/>
    </xf>
    <xf numFmtId="0" fontId="3" fillId="4" borderId="19" xfId="3" applyFont="1" applyFill="1" applyBorder="1" applyAlignment="1" applyProtection="1">
      <alignment vertical="center"/>
      <protection locked="0"/>
    </xf>
    <xf numFmtId="0" fontId="2" fillId="4" borderId="26" xfId="3" applyFont="1" applyFill="1" applyBorder="1" applyAlignment="1" applyProtection="1">
      <alignment vertical="center" wrapText="1"/>
      <protection locked="0"/>
    </xf>
    <xf numFmtId="0" fontId="2" fillId="4" borderId="20" xfId="3" applyFont="1" applyFill="1" applyBorder="1" applyAlignment="1" applyProtection="1">
      <alignment vertical="center" wrapText="1"/>
      <protection locked="0"/>
    </xf>
    <xf numFmtId="0" fontId="2" fillId="4" borderId="9" xfId="3" applyFont="1" applyFill="1" applyBorder="1" applyAlignment="1" applyProtection="1">
      <alignment vertical="center"/>
      <protection locked="0"/>
    </xf>
    <xf numFmtId="0" fontId="2" fillId="4" borderId="0" xfId="3" applyFont="1" applyFill="1" applyBorder="1" applyAlignment="1" applyProtection="1">
      <alignment vertical="center" wrapText="1"/>
      <protection locked="0"/>
    </xf>
    <xf numFmtId="0" fontId="2" fillId="4" borderId="1" xfId="3" applyFont="1" applyFill="1" applyBorder="1" applyAlignment="1" applyProtection="1">
      <alignment vertical="center" wrapText="1"/>
      <protection locked="0"/>
    </xf>
    <xf numFmtId="0" fontId="2" fillId="4" borderId="10" xfId="3" applyFont="1" applyFill="1" applyBorder="1" applyAlignment="1" applyProtection="1">
      <alignment vertical="center"/>
      <protection locked="0"/>
    </xf>
    <xf numFmtId="0" fontId="2" fillId="4" borderId="11" xfId="3" applyFont="1" applyFill="1" applyBorder="1" applyAlignment="1" applyProtection="1">
      <alignment vertical="center" wrapText="1"/>
      <protection locked="0"/>
    </xf>
    <xf numFmtId="0" fontId="2" fillId="4" borderId="8" xfId="3" applyFont="1" applyFill="1" applyBorder="1" applyAlignment="1" applyProtection="1">
      <alignment vertical="center" wrapText="1"/>
      <protection locked="0"/>
    </xf>
    <xf numFmtId="0" fontId="1" fillId="8" borderId="0" xfId="0" applyFont="1" applyFill="1" applyBorder="1" applyProtection="1">
      <protection locked="0"/>
    </xf>
    <xf numFmtId="0" fontId="20" fillId="4" borderId="0" xfId="1" applyFont="1" applyFill="1" applyAlignment="1" applyProtection="1"/>
    <xf numFmtId="0" fontId="11" fillId="2" borderId="27" xfId="1" applyFill="1" applyBorder="1" applyAlignment="1" applyProtection="1">
      <alignment vertical="center"/>
    </xf>
    <xf numFmtId="49" fontId="6" fillId="3" borderId="0" xfId="3" applyNumberFormat="1" applyFont="1" applyFill="1" applyBorder="1" applyProtection="1">
      <protection locked="0"/>
    </xf>
    <xf numFmtId="0" fontId="6" fillId="0" borderId="0" xfId="3" applyFont="1" applyFill="1" applyBorder="1" applyAlignment="1" applyProtection="1">
      <alignment vertical="center"/>
    </xf>
    <xf numFmtId="0" fontId="6" fillId="0" borderId="0" xfId="3" applyFont="1" applyProtection="1">
      <protection locked="0"/>
    </xf>
    <xf numFmtId="3" fontId="6" fillId="4" borderId="0" xfId="3" applyNumberFormat="1" applyFont="1" applyFill="1"/>
    <xf numFmtId="0" fontId="11" fillId="0" borderId="0" xfId="1" applyAlignment="1" applyProtection="1"/>
    <xf numFmtId="0" fontId="6" fillId="4" borderId="0" xfId="3" applyFont="1" applyFill="1" applyBorder="1" applyAlignment="1" applyProtection="1">
      <alignment horizontal="left" vertical="center"/>
    </xf>
    <xf numFmtId="0" fontId="6" fillId="4" borderId="1" xfId="3" applyFont="1" applyFill="1" applyBorder="1" applyAlignment="1" applyProtection="1">
      <alignment horizontal="left" vertical="center"/>
    </xf>
    <xf numFmtId="0" fontId="6" fillId="4" borderId="11" xfId="3" applyFont="1" applyFill="1" applyBorder="1" applyAlignment="1" applyProtection="1">
      <alignment horizontal="left" vertical="center" wrapText="1"/>
    </xf>
    <xf numFmtId="0" fontId="6" fillId="4" borderId="8" xfId="3" applyFont="1" applyFill="1" applyBorder="1" applyAlignment="1" applyProtection="1">
      <alignment horizontal="left" vertical="center" wrapText="1"/>
    </xf>
    <xf numFmtId="0" fontId="13" fillId="6" borderId="3" xfId="4" applyFont="1" applyFill="1" applyBorder="1" applyAlignment="1" applyProtection="1">
      <alignment horizontal="left" vertical="center" readingOrder="1"/>
      <protection locked="0"/>
    </xf>
    <xf numFmtId="0" fontId="13" fillId="6" borderId="7" xfId="4" applyFont="1" applyFill="1" applyBorder="1" applyAlignment="1" applyProtection="1">
      <alignment horizontal="left" vertical="center" readingOrder="1"/>
      <protection locked="0"/>
    </xf>
    <xf numFmtId="0" fontId="6" fillId="4" borderId="26" xfId="3" applyFont="1" applyFill="1" applyBorder="1" applyAlignment="1" applyProtection="1">
      <alignment horizontal="left" vertical="center" wrapText="1"/>
    </xf>
    <xf numFmtId="0" fontId="6" fillId="4" borderId="20" xfId="3" applyFont="1" applyFill="1" applyBorder="1" applyAlignment="1" applyProtection="1">
      <alignment horizontal="left" vertical="center" wrapText="1"/>
    </xf>
    <xf numFmtId="0" fontId="6" fillId="4" borderId="0" xfId="3" applyFont="1" applyFill="1" applyBorder="1" applyAlignment="1" applyProtection="1">
      <alignment horizontal="left" vertical="center" wrapText="1"/>
    </xf>
    <xf numFmtId="0" fontId="6" fillId="4" borderId="1" xfId="3" applyFont="1" applyFill="1" applyBorder="1" applyAlignment="1" applyProtection="1">
      <alignment horizontal="left" vertical="center" wrapText="1"/>
    </xf>
    <xf numFmtId="0" fontId="6" fillId="4" borderId="18" xfId="3" applyFont="1" applyFill="1" applyBorder="1" applyAlignment="1" applyProtection="1">
      <alignment horizontal="left" vertical="center" wrapText="1"/>
    </xf>
    <xf numFmtId="0" fontId="6" fillId="4" borderId="3" xfId="3" applyFont="1" applyFill="1" applyBorder="1" applyAlignment="1" applyProtection="1">
      <alignment horizontal="left" vertical="center" wrapText="1"/>
    </xf>
    <xf numFmtId="0" fontId="6" fillId="4" borderId="7" xfId="3" applyFont="1" applyFill="1" applyBorder="1" applyAlignment="1" applyProtection="1">
      <alignment horizontal="left" vertical="center" wrapText="1"/>
    </xf>
    <xf numFmtId="0" fontId="2" fillId="4" borderId="0" xfId="3" applyFont="1" applyFill="1" applyBorder="1" applyAlignment="1">
      <alignment vertical="center" wrapText="1"/>
    </xf>
    <xf numFmtId="0" fontId="7" fillId="0" borderId="18" xfId="3" applyFont="1" applyBorder="1" applyAlignment="1" applyProtection="1">
      <alignment horizontal="center" wrapText="1"/>
    </xf>
    <xf numFmtId="0" fontId="7" fillId="0" borderId="7" xfId="3" applyFont="1" applyBorder="1" applyAlignment="1" applyProtection="1">
      <alignment horizontal="center" wrapText="1"/>
    </xf>
    <xf numFmtId="0" fontId="7" fillId="4" borderId="0" xfId="3" applyFont="1" applyFill="1" applyBorder="1" applyAlignment="1" applyProtection="1">
      <alignment horizontal="center" wrapText="1"/>
    </xf>
    <xf numFmtId="0" fontId="6" fillId="4" borderId="0" xfId="3" applyFont="1" applyFill="1" applyBorder="1" applyAlignment="1" applyProtection="1">
      <alignment horizontal="center"/>
    </xf>
    <xf numFmtId="0" fontId="6" fillId="4" borderId="0" xfId="0" applyFont="1" applyFill="1" applyBorder="1" applyAlignment="1" applyProtection="1">
      <alignment horizontal="left" vertical="top" wrapText="1"/>
    </xf>
    <xf numFmtId="0" fontId="6" fillId="4" borderId="0" xfId="0" applyFont="1" applyFill="1" applyBorder="1" applyAlignment="1" applyProtection="1">
      <alignment horizontal="left" vertical="top"/>
    </xf>
    <xf numFmtId="0" fontId="6" fillId="4" borderId="36" xfId="0" applyFont="1" applyFill="1" applyBorder="1" applyAlignment="1" applyProtection="1">
      <alignment horizontal="left" vertical="top" wrapText="1"/>
    </xf>
    <xf numFmtId="0" fontId="26" fillId="4" borderId="37" xfId="0" applyFont="1" applyFill="1" applyBorder="1" applyAlignment="1" applyProtection="1">
      <alignment horizontal="left" vertical="top" wrapText="1"/>
    </xf>
    <xf numFmtId="0" fontId="26" fillId="4" borderId="38" xfId="0" applyFont="1" applyFill="1" applyBorder="1" applyAlignment="1" applyProtection="1">
      <alignment horizontal="left" vertical="top" wrapText="1"/>
    </xf>
    <xf numFmtId="0" fontId="26" fillId="4" borderId="39" xfId="0" applyFont="1" applyFill="1" applyBorder="1" applyAlignment="1" applyProtection="1">
      <alignment horizontal="left" vertical="top" wrapText="1"/>
    </xf>
    <xf numFmtId="0" fontId="7" fillId="0" borderId="18" xfId="0" applyFont="1" applyFill="1" applyBorder="1" applyAlignment="1" applyProtection="1">
      <alignment horizontal="center" wrapText="1"/>
    </xf>
    <xf numFmtId="0" fontId="7" fillId="0" borderId="7" xfId="0" applyFont="1" applyFill="1" applyBorder="1" applyAlignment="1" applyProtection="1">
      <alignment horizontal="center" wrapText="1"/>
    </xf>
    <xf numFmtId="0" fontId="7" fillId="0" borderId="18" xfId="0" applyFont="1" applyFill="1" applyBorder="1" applyAlignment="1" applyProtection="1">
      <alignment horizontal="center"/>
    </xf>
    <xf numFmtId="0" fontId="7" fillId="0" borderId="7" xfId="0" applyFont="1" applyFill="1" applyBorder="1" applyAlignment="1" applyProtection="1">
      <alignment horizontal="center"/>
    </xf>
    <xf numFmtId="171" fontId="7" fillId="0" borderId="17" xfId="0" applyNumberFormat="1" applyFont="1" applyFill="1" applyBorder="1" applyAlignment="1" applyProtection="1">
      <alignment horizontal="center" wrapText="1"/>
    </xf>
    <xf numFmtId="171" fontId="7" fillId="0" borderId="16" xfId="0" applyNumberFormat="1" applyFont="1" applyFill="1" applyBorder="1" applyAlignment="1" applyProtection="1">
      <alignment horizontal="center" wrapText="1"/>
    </xf>
    <xf numFmtId="0" fontId="6" fillId="0" borderId="0" xfId="0" applyFont="1" applyFill="1" applyBorder="1" applyAlignment="1" applyProtection="1">
      <alignment horizontal="left" wrapText="1"/>
    </xf>
  </cellXfs>
  <cellStyles count="5">
    <cellStyle name="Link" xfId="1" builtinId="8"/>
    <cellStyle name="Standard" xfId="0" builtinId="0"/>
    <cellStyle name="Standard 2" xfId="2"/>
    <cellStyle name="Standard 3" xfId="3"/>
    <cellStyle name="Standard_Excel_Bundlogo1" xfId="4"/>
  </cellStyles>
  <dxfs count="50">
    <dxf>
      <fill>
        <patternFill>
          <bgColor rgb="FFFFFFCC"/>
        </patternFill>
      </fill>
    </dxf>
    <dxf>
      <fill>
        <patternFill>
          <bgColor rgb="FFFFFFCC"/>
        </patternFill>
      </fill>
    </dxf>
    <dxf>
      <fill>
        <patternFill>
          <bgColor rgb="FFFFFFCC"/>
        </patternFill>
      </fill>
    </dxf>
    <dxf>
      <fill>
        <patternFill>
          <bgColor rgb="FFFFFFCC"/>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fill>
        <patternFill>
          <bgColor rgb="FFCCFFFF"/>
        </patternFill>
      </fill>
      <border>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right style="thin">
          <color indexed="64"/>
        </right>
        <top style="thin">
          <color indexed="64"/>
        </top>
        <bottom style="thin">
          <color indexed="64"/>
        </bottom>
      </border>
    </dxf>
    <dxf>
      <border>
        <left style="thin">
          <color indexed="64"/>
        </left>
        <right/>
        <top style="thin">
          <color indexed="64"/>
        </top>
        <bottom style="thin">
          <color indexed="64"/>
        </bottom>
      </border>
    </dxf>
    <dxf>
      <fill>
        <patternFill>
          <bgColor rgb="FFCCFFFF"/>
        </patternFill>
      </fill>
      <border>
        <top style="thin">
          <color indexed="64"/>
        </top>
        <bottom style="thin">
          <color indexed="64"/>
        </bottom>
      </border>
    </dxf>
    <dxf>
      <fill>
        <patternFill>
          <bgColor theme="8" tint="0.59996337778862885"/>
        </patternFill>
      </fill>
      <border>
        <left style="thin">
          <color indexed="64"/>
        </left>
        <right style="thin">
          <color indexed="64"/>
        </right>
        <top style="thin">
          <color indexed="64"/>
        </top>
        <bottom style="thin">
          <color indexed="64"/>
        </bottom>
      </border>
    </dxf>
    <dxf>
      <border>
        <right style="thin">
          <color indexed="64"/>
        </right>
      </border>
    </dxf>
    <dxf>
      <border>
        <left style="thin">
          <color indexed="64"/>
        </left>
        <right style="thin">
          <color indexed="64"/>
        </right>
        <top style="thin">
          <color indexed="64"/>
        </top>
        <bottom style="thin">
          <color indexed="64"/>
        </bottom>
      </border>
    </dxf>
    <dxf>
      <fill>
        <patternFill>
          <bgColor rgb="FFCCFFFF"/>
        </patternFill>
      </fill>
      <border>
        <left style="thin">
          <color indexed="64"/>
        </left>
        <right style="thin">
          <color indexed="64"/>
        </right>
        <top style="thin">
          <color indexed="64"/>
        </top>
        <bottom style="thin">
          <color indexed="64"/>
        </bottom>
      </border>
    </dxf>
    <dxf>
      <fill>
        <patternFill>
          <bgColor rgb="FFFF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wmf"/><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6</xdr:col>
      <xdr:colOff>321310</xdr:colOff>
      <xdr:row>0</xdr:row>
      <xdr:rowOff>30480</xdr:rowOff>
    </xdr:from>
    <xdr:to>
      <xdr:col>9</xdr:col>
      <xdr:colOff>272918</xdr:colOff>
      <xdr:row>0</xdr:row>
      <xdr:rowOff>762000</xdr:rowOff>
    </xdr:to>
    <xdr:sp macro="" textlink="">
      <xdr:nvSpPr>
        <xdr:cNvPr id="2" name="Text Box 1">
          <a:extLst>
            <a:ext uri="{FF2B5EF4-FFF2-40B4-BE49-F238E27FC236}">
              <a16:creationId xmlns:a16="http://schemas.microsoft.com/office/drawing/2014/main" id="{B8D3D0B3-110D-4412-B994-DC3C69DE261C}"/>
            </a:ext>
          </a:extLst>
        </xdr:cNvPr>
        <xdr:cNvSpPr txBox="1">
          <a:spLocks noChangeArrowheads="1"/>
        </xdr:cNvSpPr>
      </xdr:nvSpPr>
      <xdr:spPr bwMode="auto">
        <a:xfrm>
          <a:off x="11349990" y="30480"/>
          <a:ext cx="2796413" cy="73152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Dipartimento federale dell'economia, della formazione e della ricerca DEFR</a:t>
          </a:r>
        </a:p>
        <a:p>
          <a:pPr algn="l" rtl="0">
            <a:lnSpc>
              <a:spcPts val="800"/>
            </a:lnSpc>
            <a:defRPr sz="1000"/>
          </a:pPr>
          <a:r>
            <a:rPr lang="de-CH" sz="775" b="1" i="0" u="none" strike="noStrike" baseline="0">
              <a:solidFill>
                <a:srgbClr val="000000"/>
              </a:solidFill>
              <a:latin typeface="Arial"/>
              <a:cs typeface="Arial"/>
            </a:rPr>
            <a:t>Segreteria di Stato dell'economia</a:t>
          </a:r>
        </a:p>
        <a:p>
          <a:pPr algn="l" rtl="0">
            <a:lnSpc>
              <a:spcPts val="800"/>
            </a:lnSpc>
            <a:defRPr sz="1000"/>
          </a:pPr>
          <a:r>
            <a:rPr lang="de-CH" sz="775" b="0" i="0" u="none" strike="noStrike" baseline="0">
              <a:solidFill>
                <a:srgbClr val="000000"/>
              </a:solidFill>
              <a:latin typeface="Arial"/>
              <a:cs typeface="Arial"/>
            </a:rPr>
            <a:t>Libera circolazione delle persone e relazioni di lavoro </a:t>
          </a:r>
        </a:p>
        <a:p>
          <a:pPr algn="l" rtl="0">
            <a:lnSpc>
              <a:spcPts val="800"/>
            </a:lnSpc>
            <a:defRPr sz="1000"/>
          </a:pPr>
          <a:r>
            <a:rPr lang="de-CH" sz="775" b="0" i="0" u="none" strike="noStrike" baseline="0">
              <a:solidFill>
                <a:srgbClr val="000000"/>
              </a:solidFill>
              <a:latin typeface="Arial"/>
              <a:cs typeface="Arial"/>
            </a:rPr>
            <a:t>Sorveglianza del mercato  del lavoro</a:t>
          </a:r>
        </a:p>
      </xdr:txBody>
    </xdr:sp>
    <xdr:clientData/>
  </xdr:twoCellAnchor>
  <xdr:twoCellAnchor editAs="oneCell">
    <xdr:from>
      <xdr:col>0</xdr:col>
      <xdr:colOff>28575</xdr:colOff>
      <xdr:row>0</xdr:row>
      <xdr:rowOff>9525</xdr:rowOff>
    </xdr:from>
    <xdr:to>
      <xdr:col>0</xdr:col>
      <xdr:colOff>2076450</xdr:colOff>
      <xdr:row>0</xdr:row>
      <xdr:rowOff>533400</xdr:rowOff>
    </xdr:to>
    <xdr:pic>
      <xdr:nvPicPr>
        <xdr:cNvPr id="15655" name="Picture 2">
          <a:extLst>
            <a:ext uri="{FF2B5EF4-FFF2-40B4-BE49-F238E27FC236}">
              <a16:creationId xmlns:a16="http://schemas.microsoft.com/office/drawing/2014/main" id="{FC3053D9-F790-4012-8C76-A430CE9F5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1133475</xdr:colOff>
      <xdr:row>55</xdr:row>
      <xdr:rowOff>485775</xdr:rowOff>
    </xdr:from>
    <xdr:to>
      <xdr:col>5</xdr:col>
      <xdr:colOff>3352800</xdr:colOff>
      <xdr:row>57</xdr:row>
      <xdr:rowOff>76200</xdr:rowOff>
    </xdr:to>
    <xdr:pic>
      <xdr:nvPicPr>
        <xdr:cNvPr id="15656" name="Grafik 3">
          <a:extLst>
            <a:ext uri="{FF2B5EF4-FFF2-40B4-BE49-F238E27FC236}">
              <a16:creationId xmlns:a16="http://schemas.microsoft.com/office/drawing/2014/main" id="{1FE2E13D-0F51-42E7-9984-069D63500D3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05725" y="17259300"/>
          <a:ext cx="33623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1343025</xdr:colOff>
      <xdr:row>57</xdr:row>
      <xdr:rowOff>152400</xdr:rowOff>
    </xdr:from>
    <xdr:to>
      <xdr:col>7</xdr:col>
      <xdr:colOff>200025</xdr:colOff>
      <xdr:row>57</xdr:row>
      <xdr:rowOff>609600</xdr:rowOff>
    </xdr:to>
    <xdr:pic>
      <xdr:nvPicPr>
        <xdr:cNvPr id="15657" name="Grafik 4">
          <a:extLst>
            <a:ext uri="{FF2B5EF4-FFF2-40B4-BE49-F238E27FC236}">
              <a16:creationId xmlns:a16="http://schemas.microsoft.com/office/drawing/2014/main" id="{FAAE6976-63AA-48D7-9C05-7D4D5575564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72225" y="17811750"/>
          <a:ext cx="63150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321310</xdr:colOff>
      <xdr:row>0</xdr:row>
      <xdr:rowOff>30480</xdr:rowOff>
    </xdr:from>
    <xdr:to>
      <xdr:col>9</xdr:col>
      <xdr:colOff>272918</xdr:colOff>
      <xdr:row>0</xdr:row>
      <xdr:rowOff>762000</xdr:rowOff>
    </xdr:to>
    <xdr:sp macro="" textlink="">
      <xdr:nvSpPr>
        <xdr:cNvPr id="2" name="Text Box 1">
          <a:extLst>
            <a:ext uri="{FF2B5EF4-FFF2-40B4-BE49-F238E27FC236}">
              <a16:creationId xmlns:a16="http://schemas.microsoft.com/office/drawing/2014/main" id="{64F3A3CF-8B5B-4EF0-939F-5E6210558409}"/>
            </a:ext>
          </a:extLst>
        </xdr:cNvPr>
        <xdr:cNvSpPr txBox="1">
          <a:spLocks noChangeArrowheads="1"/>
        </xdr:cNvSpPr>
      </xdr:nvSpPr>
      <xdr:spPr bwMode="auto">
        <a:xfrm>
          <a:off x="11349990" y="30480"/>
          <a:ext cx="2796413" cy="73152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Dipartimento federale dell'economia, della formazione e della ricerca DEFR</a:t>
          </a:r>
        </a:p>
        <a:p>
          <a:pPr algn="l" rtl="0">
            <a:lnSpc>
              <a:spcPts val="800"/>
            </a:lnSpc>
            <a:defRPr sz="1000"/>
          </a:pPr>
          <a:r>
            <a:rPr lang="de-CH" sz="775" b="1" i="0" u="none" strike="noStrike" baseline="0">
              <a:solidFill>
                <a:srgbClr val="000000"/>
              </a:solidFill>
              <a:latin typeface="Arial"/>
              <a:cs typeface="Arial"/>
            </a:rPr>
            <a:t>Segreteria di Stato dell'economia</a:t>
          </a:r>
        </a:p>
        <a:p>
          <a:pPr algn="l" rtl="0">
            <a:lnSpc>
              <a:spcPts val="800"/>
            </a:lnSpc>
            <a:defRPr sz="1000"/>
          </a:pPr>
          <a:r>
            <a:rPr lang="de-CH" sz="775" b="0" i="0" u="none" strike="noStrike" baseline="0">
              <a:solidFill>
                <a:srgbClr val="000000"/>
              </a:solidFill>
              <a:latin typeface="Arial"/>
              <a:cs typeface="Arial"/>
            </a:rPr>
            <a:t>Libera circolazione delle persone e relazioni di lavoro </a:t>
          </a:r>
        </a:p>
        <a:p>
          <a:pPr algn="l" rtl="0">
            <a:lnSpc>
              <a:spcPts val="800"/>
            </a:lnSpc>
            <a:defRPr sz="1000"/>
          </a:pPr>
          <a:r>
            <a:rPr lang="de-CH" sz="775" b="0" i="0" u="none" strike="noStrike" baseline="0">
              <a:solidFill>
                <a:srgbClr val="000000"/>
              </a:solidFill>
              <a:latin typeface="Arial"/>
              <a:cs typeface="Arial"/>
            </a:rPr>
            <a:t>Sorveglianza del mercato  del lavoro</a:t>
          </a:r>
        </a:p>
      </xdr:txBody>
    </xdr:sp>
    <xdr:clientData/>
  </xdr:twoCellAnchor>
  <xdr:twoCellAnchor editAs="oneCell">
    <xdr:from>
      <xdr:col>0</xdr:col>
      <xdr:colOff>28575</xdr:colOff>
      <xdr:row>0</xdr:row>
      <xdr:rowOff>9525</xdr:rowOff>
    </xdr:from>
    <xdr:to>
      <xdr:col>0</xdr:col>
      <xdr:colOff>2076450</xdr:colOff>
      <xdr:row>0</xdr:row>
      <xdr:rowOff>533400</xdr:rowOff>
    </xdr:to>
    <xdr:pic>
      <xdr:nvPicPr>
        <xdr:cNvPr id="12588" name="Picture 2">
          <a:extLst>
            <a:ext uri="{FF2B5EF4-FFF2-40B4-BE49-F238E27FC236}">
              <a16:creationId xmlns:a16="http://schemas.microsoft.com/office/drawing/2014/main" id="{1F880DF8-3B24-4685-BF34-252C22E3DF1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1133475</xdr:colOff>
      <xdr:row>55</xdr:row>
      <xdr:rowOff>485775</xdr:rowOff>
    </xdr:from>
    <xdr:to>
      <xdr:col>5</xdr:col>
      <xdr:colOff>3352800</xdr:colOff>
      <xdr:row>57</xdr:row>
      <xdr:rowOff>76200</xdr:rowOff>
    </xdr:to>
    <xdr:pic>
      <xdr:nvPicPr>
        <xdr:cNvPr id="12589" name="Grafik 3">
          <a:extLst>
            <a:ext uri="{FF2B5EF4-FFF2-40B4-BE49-F238E27FC236}">
              <a16:creationId xmlns:a16="http://schemas.microsoft.com/office/drawing/2014/main" id="{0D6161FF-E64A-4D6B-A954-64651CF393A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3350" y="17259300"/>
          <a:ext cx="336232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1343025</xdr:colOff>
      <xdr:row>57</xdr:row>
      <xdr:rowOff>152400</xdr:rowOff>
    </xdr:from>
    <xdr:to>
      <xdr:col>7</xdr:col>
      <xdr:colOff>200025</xdr:colOff>
      <xdr:row>57</xdr:row>
      <xdr:rowOff>609600</xdr:rowOff>
    </xdr:to>
    <xdr:pic>
      <xdr:nvPicPr>
        <xdr:cNvPr id="12590" name="Grafik 4">
          <a:extLst>
            <a:ext uri="{FF2B5EF4-FFF2-40B4-BE49-F238E27FC236}">
              <a16:creationId xmlns:a16="http://schemas.microsoft.com/office/drawing/2014/main" id="{625D1D6E-FA1F-481B-8A71-2FF70C86483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19850" y="17811750"/>
          <a:ext cx="63150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9525</xdr:rowOff>
    </xdr:from>
    <xdr:to>
      <xdr:col>0</xdr:col>
      <xdr:colOff>2076450</xdr:colOff>
      <xdr:row>0</xdr:row>
      <xdr:rowOff>533400</xdr:rowOff>
    </xdr:to>
    <xdr:pic>
      <xdr:nvPicPr>
        <xdr:cNvPr id="16505" name="Picture 2">
          <a:extLst>
            <a:ext uri="{FF2B5EF4-FFF2-40B4-BE49-F238E27FC236}">
              <a16:creationId xmlns:a16="http://schemas.microsoft.com/office/drawing/2014/main" id="{BF8DED85-522C-4C8E-AC2B-5FCD93ABC86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9525"/>
          <a:ext cx="2047875" cy="5238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76200</xdr:colOff>
      <xdr:row>0</xdr:row>
      <xdr:rowOff>160020</xdr:rowOff>
    </xdr:from>
    <xdr:to>
      <xdr:col>10</xdr:col>
      <xdr:colOff>377177</xdr:colOff>
      <xdr:row>0</xdr:row>
      <xdr:rowOff>670560</xdr:rowOff>
    </xdr:to>
    <xdr:sp macro="" textlink="">
      <xdr:nvSpPr>
        <xdr:cNvPr id="3" name="Text Box 1">
          <a:extLst>
            <a:ext uri="{FF2B5EF4-FFF2-40B4-BE49-F238E27FC236}">
              <a16:creationId xmlns:a16="http://schemas.microsoft.com/office/drawing/2014/main" id="{46C93524-9B95-43E8-9773-2B5E9E2F85F3}"/>
            </a:ext>
          </a:extLst>
        </xdr:cNvPr>
        <xdr:cNvSpPr txBox="1">
          <a:spLocks noChangeArrowheads="1"/>
        </xdr:cNvSpPr>
      </xdr:nvSpPr>
      <xdr:spPr bwMode="auto">
        <a:xfrm>
          <a:off x="10347960" y="160020"/>
          <a:ext cx="3443605" cy="510540"/>
        </a:xfrm>
        <a:prstGeom prst="rect">
          <a:avLst/>
        </a:prstGeom>
        <a:solidFill>
          <a:srgbClr val="FFFFFF"/>
        </a:solidFill>
        <a:ln w="9525">
          <a:noFill/>
          <a:miter lim="800000"/>
          <a:headEnd/>
          <a:tailEnd/>
        </a:ln>
      </xdr:spPr>
      <xdr:txBody>
        <a:bodyPr vertOverflow="clip" wrap="square" lIns="18000" tIns="10800" rIns="18000" bIns="10800" anchor="t" upright="1"/>
        <a:lstStyle/>
        <a:p>
          <a:pPr algn="l" rtl="0">
            <a:lnSpc>
              <a:spcPts val="800"/>
            </a:lnSpc>
            <a:defRPr sz="1000"/>
          </a:pPr>
          <a:r>
            <a:rPr lang="de-CH" sz="775" b="0" i="0" u="none" strike="noStrike" baseline="0">
              <a:solidFill>
                <a:srgbClr val="000000"/>
              </a:solidFill>
              <a:latin typeface="Arial"/>
              <a:cs typeface="Arial"/>
            </a:rPr>
            <a:t>Dipartimento federale dell'economia, della formazione e della ricerca DEFR</a:t>
          </a:r>
          <a:br>
            <a:rPr lang="de-CH" sz="775" b="0" i="0" u="none" strike="noStrike" baseline="0">
              <a:solidFill>
                <a:srgbClr val="000000"/>
              </a:solidFill>
              <a:latin typeface="Arial"/>
              <a:cs typeface="Arial"/>
            </a:rPr>
          </a:br>
          <a:r>
            <a:rPr lang="de-CH" sz="775" b="1" i="0" u="none" strike="noStrike" baseline="0">
              <a:solidFill>
                <a:srgbClr val="000000"/>
              </a:solidFill>
              <a:latin typeface="Arial"/>
              <a:cs typeface="Arial"/>
            </a:rPr>
            <a:t>Segreteria di Stato dell'economia </a:t>
          </a:r>
        </a:p>
        <a:p>
          <a:pPr algn="l" rtl="0">
            <a:lnSpc>
              <a:spcPts val="800"/>
            </a:lnSpc>
            <a:defRPr sz="1000"/>
          </a:pPr>
          <a:r>
            <a:rPr lang="de-CH" sz="775" b="0" i="0" u="none" strike="noStrike" baseline="0">
              <a:solidFill>
                <a:srgbClr val="000000"/>
              </a:solidFill>
              <a:latin typeface="Arial"/>
              <a:cs typeface="Arial"/>
            </a:rPr>
            <a:t>Libera circolazione delle persone e relazioni di lavoro</a:t>
          </a:r>
        </a:p>
        <a:p>
          <a:pPr algn="l" rtl="0">
            <a:lnSpc>
              <a:spcPts val="800"/>
            </a:lnSpc>
            <a:defRPr sz="1000"/>
          </a:pPr>
          <a:r>
            <a:rPr lang="de-CH" sz="775" b="0" i="0" u="none" strike="noStrike" baseline="0">
              <a:solidFill>
                <a:srgbClr val="000000"/>
              </a:solidFill>
              <a:latin typeface="Arial"/>
              <a:cs typeface="Arial"/>
            </a:rPr>
            <a:t>Sorveglianza del mercato del lavoro</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3562350</xdr:colOff>
          <xdr:row>45</xdr:row>
          <xdr:rowOff>704850</xdr:rowOff>
        </xdr:from>
        <xdr:to>
          <xdr:col>0</xdr:col>
          <xdr:colOff>4848225</xdr:colOff>
          <xdr:row>46</xdr:row>
          <xdr:rowOff>0</xdr:rowOff>
        </xdr:to>
        <xdr:sp macro="" textlink="">
          <xdr:nvSpPr>
            <xdr:cNvPr id="13314" name="Object 2" hidden="1">
              <a:extLst>
                <a:ext uri="{63B3BB69-23CF-44E3-9099-C40C66FF867C}">
                  <a14:compatExt spid="_x0000_s13314"/>
                </a:ext>
                <a:ext uri="{FF2B5EF4-FFF2-40B4-BE49-F238E27FC236}">
                  <a16:creationId xmlns:a16="http://schemas.microsoft.com/office/drawing/2014/main" id="{9703C9C5-4AA4-4A3E-BA2B-608006D2653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2295525</xdr:colOff>
          <xdr:row>9</xdr:row>
          <xdr:rowOff>114300</xdr:rowOff>
        </xdr:from>
        <xdr:to>
          <xdr:col>0</xdr:col>
          <xdr:colOff>4210050</xdr:colOff>
          <xdr:row>16</xdr:row>
          <xdr:rowOff>0</xdr:rowOff>
        </xdr:to>
        <xdr:sp macro="" textlink="">
          <xdr:nvSpPr>
            <xdr:cNvPr id="13315" name="Object 3" hidden="1">
              <a:extLst>
                <a:ext uri="{63B3BB69-23CF-44E3-9099-C40C66FF867C}">
                  <a14:compatExt spid="_x0000_s13315"/>
                </a:ext>
                <a:ext uri="{FF2B5EF4-FFF2-40B4-BE49-F238E27FC236}">
                  <a16:creationId xmlns:a16="http://schemas.microsoft.com/office/drawing/2014/main" id="{AD7D51AE-CCC8-496E-BDC2-4EBC5902E8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alpha val="50000"/>
          </a:srgbClr>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eiertagskalender.ch/index.php?geo=3056&amp;jahr=2015&amp;klasse=4&amp;hl=it" TargetMode="External"/><Relationship Id="rId1" Type="http://schemas.openxmlformats.org/officeDocument/2006/relationships/hyperlink" Target="https://www.estv.admin.ch/estv/it/home/imposta-sul-valore-aggiunto/rendiconto-iva/iva-corsi-delle-valute-estere/corsi-medi-mensili/corsi-medi-mensili-attuale.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estv.admin.ch/estv/it/home/imposta-sul-valore-aggiunto/rendiconto-iva/iva-corsi-delle-valute-estere/corsi-medi-mensili/corsi-medi-mensili-attuale.html" TargetMode="External"/><Relationship Id="rId1" Type="http://schemas.openxmlformats.org/officeDocument/2006/relationships/hyperlink" Target="http://www.feiertagskalender.ch/index.php?geo=3056&amp;jahr=2015&amp;klasse=4&amp;hl=it"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feiertagskalender.ch/index.php?geo=3056&amp;jahr=2015&amp;klasse=4&amp;hl=it" TargetMode="External"/><Relationship Id="rId1" Type="http://schemas.openxmlformats.org/officeDocument/2006/relationships/hyperlink" Target="https://www.estv.admin.ch/estv/it/home/imposta-sul-valore-aggiunto/rendiconto-iva/iva-corsi-delle-valute-estere/corsi-medi-mensili/corsi-medi-mensili-attuale.html"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image" Target="../media/image5.wmf"/><Relationship Id="rId3" Type="http://schemas.openxmlformats.org/officeDocument/2006/relationships/drawing" Target="../drawings/drawing4.xml"/><Relationship Id="rId7" Type="http://schemas.openxmlformats.org/officeDocument/2006/relationships/oleObject" Target="../embeddings/oleObject2.bin"/><Relationship Id="rId2" Type="http://schemas.openxmlformats.org/officeDocument/2006/relationships/printerSettings" Target="../printerSettings/printerSettings4.bin"/><Relationship Id="rId1" Type="http://schemas.openxmlformats.org/officeDocument/2006/relationships/hyperlink" Target="https://www.seco.admin.ch/seco/it/home/Arbeit/Personenfreizugigkeit_Arbeitsbeziehungen/freier-personenverkehr-ch-eu-und-flankierende-massnahmen/internationaler-lohnvergleich.html" TargetMode="External"/><Relationship Id="rId6" Type="http://schemas.openxmlformats.org/officeDocument/2006/relationships/image" Target="../media/image4.wmf"/><Relationship Id="rId5" Type="http://schemas.openxmlformats.org/officeDocument/2006/relationships/oleObject" Target="../embeddings/oleObject1.bin"/><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6"/>
  <sheetViews>
    <sheetView tabSelected="1" zoomScale="90" zoomScaleNormal="90" zoomScaleSheetLayoutView="100" workbookViewId="0"/>
  </sheetViews>
  <sheetFormatPr baseColWidth="10" defaultRowHeight="14.25" x14ac:dyDescent="0.2"/>
  <cols>
    <col min="1" max="1" width="49.85546875" style="6" customWidth="1"/>
    <col min="2" max="2" width="14.140625" style="6" customWidth="1"/>
    <col min="3" max="3" width="11.42578125" style="6"/>
    <col min="4" max="4" width="23.140625" style="6" customWidth="1"/>
    <col min="5" max="5" width="17.140625" style="6" customWidth="1"/>
    <col min="6" max="6" width="56.140625" style="6" customWidth="1"/>
    <col min="7" max="7" width="15.42578125" style="6" customWidth="1"/>
    <col min="8" max="8" width="13" style="6" customWidth="1"/>
    <col min="9" max="9" width="14.42578125" style="6" customWidth="1"/>
    <col min="10" max="10" width="14.5703125" style="6" customWidth="1"/>
    <col min="11" max="11" width="11.42578125" style="102"/>
    <col min="12" max="15" width="11.42578125" style="123" customWidth="1"/>
    <col min="16" max="16384" width="11.42578125" style="6"/>
  </cols>
  <sheetData>
    <row r="1" spans="1:15" ht="63.75" customHeight="1" x14ac:dyDescent="0.2">
      <c r="A1" s="2"/>
      <c r="B1" s="2"/>
      <c r="C1" s="2"/>
      <c r="D1" s="2"/>
      <c r="E1" s="2"/>
      <c r="F1" s="253"/>
      <c r="G1" s="253"/>
      <c r="H1" s="136"/>
      <c r="I1" s="136"/>
      <c r="J1" s="4"/>
      <c r="K1" s="5"/>
    </row>
    <row r="2" spans="1:15" ht="16.350000000000001" customHeight="1" x14ac:dyDescent="0.2">
      <c r="A2" s="7" t="s">
        <v>57</v>
      </c>
      <c r="B2" s="8"/>
      <c r="C2" s="8"/>
      <c r="D2" s="8"/>
      <c r="E2" s="9"/>
      <c r="F2" s="10"/>
      <c r="G2" s="11"/>
      <c r="H2" s="11"/>
      <c r="I2" s="11"/>
      <c r="J2" s="11"/>
      <c r="K2" s="12"/>
    </row>
    <row r="3" spans="1:15" ht="16.350000000000001" customHeight="1" x14ac:dyDescent="0.2">
      <c r="A3" s="13"/>
      <c r="B3" s="13"/>
      <c r="C3" s="13"/>
      <c r="D3" s="13"/>
      <c r="E3" s="13"/>
      <c r="F3" s="2"/>
      <c r="G3" s="136"/>
      <c r="H3" s="136"/>
      <c r="I3" s="136"/>
      <c r="J3" s="136"/>
      <c r="K3" s="14"/>
      <c r="L3" s="124"/>
    </row>
    <row r="4" spans="1:15" ht="16.350000000000001" customHeight="1" x14ac:dyDescent="0.2">
      <c r="A4" s="121" t="s">
        <v>116</v>
      </c>
      <c r="B4" s="15"/>
      <c r="C4" s="15"/>
      <c r="D4" s="15"/>
      <c r="E4" s="16"/>
      <c r="F4" s="223" t="s">
        <v>168</v>
      </c>
      <c r="G4" s="224"/>
      <c r="H4" s="224"/>
      <c r="I4" s="224"/>
      <c r="J4" s="225"/>
      <c r="K4" s="14"/>
    </row>
    <row r="5" spans="1:15" ht="23.25" customHeight="1" x14ac:dyDescent="0.2">
      <c r="A5" s="18" t="s">
        <v>118</v>
      </c>
      <c r="B5" s="244" t="s">
        <v>127</v>
      </c>
      <c r="C5" s="244"/>
      <c r="D5" s="244"/>
      <c r="E5" s="245"/>
      <c r="F5" s="226"/>
      <c r="G5" s="227"/>
      <c r="H5" s="227"/>
      <c r="I5" s="227"/>
      <c r="J5" s="228"/>
      <c r="K5" s="14"/>
    </row>
    <row r="6" spans="1:15" ht="20.25" customHeight="1" x14ac:dyDescent="0.2">
      <c r="A6" s="18" t="s">
        <v>58</v>
      </c>
      <c r="B6" s="244" t="s">
        <v>126</v>
      </c>
      <c r="C6" s="244"/>
      <c r="D6" s="244"/>
      <c r="E6" s="245"/>
      <c r="F6" s="226"/>
      <c r="G6" s="227"/>
      <c r="H6" s="227"/>
      <c r="I6" s="227"/>
      <c r="J6" s="228"/>
      <c r="K6" s="14"/>
    </row>
    <row r="7" spans="1:15" ht="24.75" customHeight="1" x14ac:dyDescent="0.2">
      <c r="A7" s="18" t="s">
        <v>117</v>
      </c>
      <c r="B7" s="244" t="s">
        <v>128</v>
      </c>
      <c r="C7" s="244"/>
      <c r="D7" s="244"/>
      <c r="E7" s="245"/>
      <c r="F7" s="226"/>
      <c r="G7" s="227"/>
      <c r="H7" s="227"/>
      <c r="I7" s="227"/>
      <c r="J7" s="228"/>
      <c r="K7" s="14"/>
    </row>
    <row r="8" spans="1:15" ht="16.350000000000001" customHeight="1" x14ac:dyDescent="0.2">
      <c r="A8" s="19"/>
      <c r="B8" s="20"/>
      <c r="C8" s="20"/>
      <c r="D8" s="20"/>
      <c r="E8" s="17"/>
      <c r="F8" s="229"/>
      <c r="G8" s="230"/>
      <c r="H8" s="230"/>
      <c r="I8" s="230"/>
      <c r="J8" s="231"/>
      <c r="K8" s="14"/>
    </row>
    <row r="9" spans="1:15" ht="15" customHeight="1" x14ac:dyDescent="0.2">
      <c r="A9" s="21"/>
      <c r="B9" s="21"/>
      <c r="C9" s="21"/>
      <c r="D9" s="22"/>
      <c r="E9" s="22"/>
      <c r="F9" s="22"/>
      <c r="G9" s="22"/>
      <c r="H9" s="22"/>
      <c r="I9" s="4"/>
      <c r="J9" s="4"/>
      <c r="K9" s="5"/>
    </row>
    <row r="10" spans="1:15" s="27" customFormat="1" ht="15" customHeight="1" x14ac:dyDescent="0.25">
      <c r="A10" s="23" t="s">
        <v>3</v>
      </c>
      <c r="B10" s="23"/>
      <c r="C10" s="24"/>
      <c r="D10" s="24"/>
      <c r="E10" s="24"/>
      <c r="F10" s="23" t="s">
        <v>59</v>
      </c>
      <c r="G10" s="25"/>
      <c r="H10" s="25"/>
      <c r="I10" s="25"/>
      <c r="J10" s="25"/>
      <c r="K10" s="26"/>
      <c r="L10" s="125"/>
      <c r="M10" s="125"/>
      <c r="N10" s="125"/>
      <c r="O10" s="125"/>
    </row>
    <row r="11" spans="1:15" s="27" customFormat="1" ht="30.75" customHeight="1" x14ac:dyDescent="0.25">
      <c r="A11" s="28"/>
      <c r="B11" s="23"/>
      <c r="C11" s="25"/>
      <c r="D11" s="24"/>
      <c r="E11" s="24"/>
      <c r="F11" s="29"/>
      <c r="G11" s="254" t="s">
        <v>60</v>
      </c>
      <c r="H11" s="255"/>
      <c r="I11" s="254" t="s">
        <v>20</v>
      </c>
      <c r="J11" s="255"/>
      <c r="K11" s="26"/>
      <c r="L11" s="123" t="s">
        <v>18</v>
      </c>
      <c r="M11" s="125"/>
      <c r="N11" s="125"/>
      <c r="O11" s="125"/>
    </row>
    <row r="12" spans="1:15" s="27" customFormat="1" ht="15" customHeight="1" thickBot="1" x14ac:dyDescent="0.3">
      <c r="A12" s="23"/>
      <c r="B12" s="23"/>
      <c r="C12" s="23" t="s">
        <v>0</v>
      </c>
      <c r="D12" s="25"/>
      <c r="E12" s="24"/>
      <c r="F12" s="30"/>
      <c r="G12" s="31" t="s">
        <v>1</v>
      </c>
      <c r="H12" s="32" t="s">
        <v>21</v>
      </c>
      <c r="I12" s="33" t="s">
        <v>21</v>
      </c>
      <c r="J12" s="34" t="s">
        <v>1</v>
      </c>
      <c r="K12" s="26"/>
      <c r="L12" s="123" t="s">
        <v>33</v>
      </c>
      <c r="M12" s="125"/>
      <c r="N12" s="125"/>
      <c r="O12" s="125"/>
    </row>
    <row r="13" spans="1:15" s="27" customFormat="1" ht="15" customHeight="1" thickTop="1" x14ac:dyDescent="0.25">
      <c r="A13" s="23"/>
      <c r="B13" s="23"/>
      <c r="C13" s="35"/>
      <c r="D13" s="25"/>
      <c r="E13" s="24"/>
      <c r="F13" s="36" t="s">
        <v>4</v>
      </c>
      <c r="G13" s="37">
        <f>$H13*$C$42</f>
        <v>0</v>
      </c>
      <c r="H13" s="38">
        <f>IF(D14="euro all'ora",C14,C14/((C22*52)/12))</f>
        <v>0</v>
      </c>
      <c r="I13" s="38">
        <f>$J13/$C$42</f>
        <v>0</v>
      </c>
      <c r="J13" s="37">
        <f>C35</f>
        <v>0</v>
      </c>
      <c r="K13" s="26"/>
      <c r="L13" s="125" t="s">
        <v>34</v>
      </c>
      <c r="M13" s="125"/>
      <c r="N13" s="125"/>
      <c r="O13" s="125"/>
    </row>
    <row r="14" spans="1:15" s="27" customFormat="1" ht="15" customHeight="1" x14ac:dyDescent="0.2">
      <c r="A14" s="39" t="s">
        <v>61</v>
      </c>
      <c r="B14" s="25"/>
      <c r="C14" s="40">
        <v>0</v>
      </c>
      <c r="D14" s="49" t="s">
        <v>12</v>
      </c>
      <c r="E14" s="42"/>
      <c r="F14" s="36" t="s">
        <v>62</v>
      </c>
      <c r="G14" s="43">
        <f t="shared" ref="G14:G22" si="0">$H14*$C$42</f>
        <v>0</v>
      </c>
      <c r="H14" s="44">
        <f>C21/((52*C22)/12)</f>
        <v>0</v>
      </c>
      <c r="I14" s="45"/>
      <c r="J14" s="46"/>
      <c r="K14" s="26"/>
      <c r="L14" s="125" t="s">
        <v>35</v>
      </c>
      <c r="M14" s="125"/>
      <c r="N14" s="125"/>
      <c r="O14" s="125"/>
    </row>
    <row r="15" spans="1:15" s="27" customFormat="1" ht="15" customHeight="1" x14ac:dyDescent="0.2">
      <c r="A15" s="25" t="s">
        <v>5</v>
      </c>
      <c r="B15" s="25"/>
      <c r="C15" s="40">
        <v>0</v>
      </c>
      <c r="D15" s="25" t="s">
        <v>13</v>
      </c>
      <c r="E15" s="24"/>
      <c r="F15" s="36" t="s">
        <v>22</v>
      </c>
      <c r="G15" s="43">
        <f t="shared" si="0"/>
        <v>0</v>
      </c>
      <c r="H15" s="44">
        <f>(H13+H14)*(C23/(260-C23))</f>
        <v>0</v>
      </c>
      <c r="I15" s="44">
        <f>$J15/$C$42</f>
        <v>0</v>
      </c>
      <c r="J15" s="43">
        <f>J13*(C36/(260-C36))</f>
        <v>0</v>
      </c>
      <c r="K15" s="26"/>
      <c r="L15" s="125" t="s">
        <v>38</v>
      </c>
      <c r="M15" s="125"/>
      <c r="N15" s="125"/>
      <c r="O15" s="125"/>
    </row>
    <row r="16" spans="1:15" s="27" customFormat="1" ht="15" customHeight="1" x14ac:dyDescent="0.2">
      <c r="A16" s="47" t="s">
        <v>6</v>
      </c>
      <c r="B16" s="25"/>
      <c r="C16" s="40">
        <v>0</v>
      </c>
      <c r="D16" s="25" t="s">
        <v>14</v>
      </c>
      <c r="E16" s="24"/>
      <c r="F16" s="36" t="s">
        <v>23</v>
      </c>
      <c r="G16" s="43">
        <f t="shared" si="0"/>
        <v>0</v>
      </c>
      <c r="H16" s="44">
        <f>(H13+H14)*(C24/(260-C24))</f>
        <v>0</v>
      </c>
      <c r="I16" s="44">
        <f>$J16/$C$42</f>
        <v>0</v>
      </c>
      <c r="J16" s="43">
        <f>J13*(C37/(260-C37))</f>
        <v>0</v>
      </c>
      <c r="K16" s="26"/>
      <c r="L16" s="125" t="s">
        <v>36</v>
      </c>
      <c r="M16" s="125"/>
      <c r="N16" s="125"/>
      <c r="O16" s="125"/>
    </row>
    <row r="17" spans="1:15" s="27" customFormat="1" ht="15" customHeight="1" x14ac:dyDescent="0.2">
      <c r="A17" s="25" t="s">
        <v>7</v>
      </c>
      <c r="B17" s="25"/>
      <c r="C17" s="1">
        <v>1.0000000000000001E-15</v>
      </c>
      <c r="D17" s="25" t="s">
        <v>15</v>
      </c>
      <c r="E17" s="24"/>
      <c r="F17" s="36" t="s">
        <v>42</v>
      </c>
      <c r="G17" s="43">
        <f t="shared" si="0"/>
        <v>0</v>
      </c>
      <c r="H17" s="48">
        <f>IF(D27="euro all'anno",(H13+H14+H15+H16)*L28/100*1/12,IF(D27="% di un mese di salario",(H13+H14+H15+H16)*C27/100*1/12,(H13+H14+H15+H16)*C27/100))</f>
        <v>0</v>
      </c>
      <c r="I17" s="44">
        <f>$J17/$C$42</f>
        <v>0</v>
      </c>
      <c r="J17" s="43">
        <f>(J13+J15+J16)*(C38/100)*(1/12)</f>
        <v>0</v>
      </c>
      <c r="K17" s="26"/>
      <c r="L17" s="125" t="s">
        <v>12</v>
      </c>
      <c r="M17" s="125"/>
      <c r="N17" s="125"/>
      <c r="O17" s="125"/>
    </row>
    <row r="18" spans="1:15" s="27" customFormat="1" ht="15" customHeight="1" x14ac:dyDescent="0.2">
      <c r="A18" s="49" t="s">
        <v>35</v>
      </c>
      <c r="B18" s="50"/>
      <c r="C18" s="40">
        <v>0</v>
      </c>
      <c r="D18" s="25" t="s">
        <v>15</v>
      </c>
      <c r="E18" s="24"/>
      <c r="F18" s="36" t="s">
        <v>43</v>
      </c>
      <c r="G18" s="43">
        <f t="shared" si="0"/>
        <v>0</v>
      </c>
      <c r="H18" s="48">
        <f>IF(D28="euro all'anno",(H13+H14+H15+H16)*L29/100*1/12,IF(D28="% di un mese di salario",(H13+H14+H15+H16)*C28/100*1/12,(H13+H14+H15+H16)*C28/100))</f>
        <v>0</v>
      </c>
      <c r="I18" s="51">
        <f>$J18/$C$42</f>
        <v>0</v>
      </c>
      <c r="J18" s="52">
        <f>(J13+J15+J16)*(C39/100)*(1/12)</f>
        <v>0</v>
      </c>
      <c r="K18" s="26"/>
      <c r="L18" s="125" t="s">
        <v>16</v>
      </c>
      <c r="M18" s="125"/>
      <c r="N18" s="125"/>
      <c r="O18" s="125"/>
    </row>
    <row r="19" spans="1:15" s="27" customFormat="1" ht="15" customHeight="1" x14ac:dyDescent="0.2">
      <c r="A19" s="25" t="str">
        <f>IF(AND(A18="          di cui lavoro notturno",C18&gt;0),"          supplemento lavoro notturno",IF(AND(A18="          di cui lavoro di sabato",C18&gt;0),"          supplemento lavoro di sabato",IF(AND(A18="          di cui lavoro domenicale",C18&gt;0),"          supplemento lavoro domenicale","")))</f>
        <v/>
      </c>
      <c r="B19" s="25"/>
      <c r="C19" s="40">
        <v>0</v>
      </c>
      <c r="D19" s="25" t="str">
        <f>IF(C18&gt;0,"euro all'ora","")</f>
        <v/>
      </c>
      <c r="E19" s="24"/>
      <c r="F19" s="36" t="s">
        <v>63</v>
      </c>
      <c r="G19" s="43">
        <f t="shared" si="0"/>
        <v>0</v>
      </c>
      <c r="H19" s="53">
        <f>IF(D29="euro all'anno",(H13+H14+H15+H16)*(L30/100)*1/12,IF(D29="% di un mese di salario",(H13+H14+H15+H16)*(C29/100)*1/12,(H13+H14+H15+H16)*C29/100))</f>
        <v>0</v>
      </c>
      <c r="I19" s="54"/>
      <c r="J19" s="55"/>
      <c r="K19" s="26"/>
      <c r="L19" s="125"/>
      <c r="M19" s="125"/>
      <c r="N19" s="125"/>
      <c r="O19" s="125"/>
    </row>
    <row r="20" spans="1:15" s="27" customFormat="1" ht="15" customHeight="1" x14ac:dyDescent="0.2">
      <c r="A20" s="56" t="s">
        <v>64</v>
      </c>
      <c r="C20" s="40">
        <v>0</v>
      </c>
      <c r="D20" s="236" t="s">
        <v>15</v>
      </c>
      <c r="E20" s="24"/>
      <c r="F20" s="36" t="s">
        <v>65</v>
      </c>
      <c r="G20" s="37">
        <f t="shared" si="0"/>
        <v>0</v>
      </c>
      <c r="H20" s="53">
        <f>IF(D30="euro all'anno",(H13+H14+H15+H16)*(L31/100)*1/12,IF(D30="% di un mese di salario",(H13+H14+H15+H16)*(C30/100)*1/12,(H13+H14+H15+H16)*C30/100))</f>
        <v>0</v>
      </c>
      <c r="I20" s="57"/>
      <c r="J20" s="58"/>
      <c r="K20" s="26"/>
      <c r="L20" s="125"/>
      <c r="M20" s="125"/>
      <c r="N20" s="125"/>
      <c r="O20" s="125"/>
    </row>
    <row r="21" spans="1:15" s="27" customFormat="1" ht="15" customHeight="1" x14ac:dyDescent="0.2">
      <c r="A21" s="56" t="s">
        <v>62</v>
      </c>
      <c r="B21" s="25"/>
      <c r="C21" s="40">
        <v>0</v>
      </c>
      <c r="D21" s="25" t="s">
        <v>16</v>
      </c>
      <c r="E21" s="24"/>
      <c r="F21" s="36" t="s">
        <v>10</v>
      </c>
      <c r="G21" s="37">
        <f t="shared" si="0"/>
        <v>0</v>
      </c>
      <c r="H21" s="54">
        <f>C26</f>
        <v>0</v>
      </c>
      <c r="I21" s="57"/>
      <c r="J21" s="58"/>
      <c r="K21" s="26"/>
      <c r="L21" s="125"/>
      <c r="M21" s="125"/>
      <c r="N21" s="125"/>
      <c r="O21" s="125"/>
    </row>
    <row r="22" spans="1:15" s="27" customFormat="1" ht="15" customHeight="1" x14ac:dyDescent="0.2">
      <c r="A22" s="25" t="s">
        <v>66</v>
      </c>
      <c r="B22" s="25"/>
      <c r="C22" s="1">
        <v>1.0000000000000001E-15</v>
      </c>
      <c r="D22" s="25" t="s">
        <v>41</v>
      </c>
      <c r="E22" s="24"/>
      <c r="F22" s="59" t="s">
        <v>40</v>
      </c>
      <c r="G22" s="52">
        <f t="shared" si="0"/>
        <v>0</v>
      </c>
      <c r="H22" s="51">
        <f>IF(D25="euro per la durata dell'impiego",(($C25)-((C16*C43)+(C15*C44))/C42)/C17,((C25*C15)-((C43*C16+C44*C15)/C42))/C17)</f>
        <v>0</v>
      </c>
      <c r="I22" s="57"/>
      <c r="J22" s="58"/>
      <c r="K22" s="26"/>
      <c r="L22" s="125"/>
      <c r="M22" s="125"/>
      <c r="N22" s="125"/>
      <c r="O22" s="125"/>
    </row>
    <row r="23" spans="1:15" s="27" customFormat="1" ht="15" customHeight="1" thickBot="1" x14ac:dyDescent="0.3">
      <c r="A23" s="39" t="s">
        <v>8</v>
      </c>
      <c r="B23" s="25"/>
      <c r="C23" s="40">
        <v>0</v>
      </c>
      <c r="D23" s="25" t="s">
        <v>13</v>
      </c>
      <c r="E23" s="24"/>
      <c r="F23" s="60" t="s">
        <v>24</v>
      </c>
      <c r="G23" s="61">
        <f>SUM(G$13:G$22)</f>
        <v>0</v>
      </c>
      <c r="H23" s="62">
        <f>SUM(H$13:H$22)</f>
        <v>0</v>
      </c>
      <c r="I23" s="63">
        <f>SUM(I$13:I$18)-I14</f>
        <v>0</v>
      </c>
      <c r="J23" s="64">
        <f>SUM(J$13:J$18)-J14</f>
        <v>0</v>
      </c>
      <c r="K23" s="26"/>
      <c r="L23" s="125"/>
      <c r="M23" s="125"/>
      <c r="N23" s="125"/>
      <c r="O23" s="125"/>
    </row>
    <row r="24" spans="1:15" s="27" customFormat="1" ht="15" customHeight="1" thickTop="1" x14ac:dyDescent="0.2">
      <c r="A24" s="233" t="s">
        <v>9</v>
      </c>
      <c r="B24" s="25"/>
      <c r="C24" s="40">
        <v>0</v>
      </c>
      <c r="D24" s="25" t="s">
        <v>13</v>
      </c>
      <c r="E24" s="24"/>
      <c r="F24" s="65"/>
      <c r="G24" s="65"/>
      <c r="H24" s="65"/>
      <c r="I24" s="65"/>
      <c r="J24" s="65"/>
      <c r="K24" s="26"/>
      <c r="L24" s="125"/>
      <c r="M24" s="125"/>
      <c r="N24" s="125"/>
      <c r="O24" s="125"/>
    </row>
    <row r="25" spans="1:15" s="27" customFormat="1" ht="15" customHeight="1" x14ac:dyDescent="0.2">
      <c r="A25" s="56" t="s">
        <v>40</v>
      </c>
      <c r="B25" s="25"/>
      <c r="C25" s="40">
        <v>0</v>
      </c>
      <c r="D25" s="49" t="s">
        <v>17</v>
      </c>
      <c r="E25" s="24"/>
      <c r="F25" s="25"/>
      <c r="G25" s="137" t="s">
        <v>1</v>
      </c>
      <c r="H25" s="137" t="s">
        <v>21</v>
      </c>
      <c r="I25" s="65"/>
      <c r="J25" s="65"/>
      <c r="K25" s="26"/>
      <c r="L25" s="125"/>
      <c r="M25" s="125"/>
      <c r="N25" s="125"/>
      <c r="O25" s="125"/>
    </row>
    <row r="26" spans="1:15" s="27" customFormat="1" ht="15" customHeight="1" x14ac:dyDescent="0.25">
      <c r="A26" s="56" t="s">
        <v>10</v>
      </c>
      <c r="B26" s="25"/>
      <c r="C26" s="40">
        <v>0</v>
      </c>
      <c r="D26" s="25" t="s">
        <v>12</v>
      </c>
      <c r="E26" s="24"/>
      <c r="F26" s="67" t="s">
        <v>25</v>
      </c>
      <c r="G26" s="68">
        <f>G23-J23</f>
        <v>0</v>
      </c>
      <c r="H26" s="69">
        <f>H23-I23</f>
        <v>0</v>
      </c>
      <c r="I26" s="65"/>
      <c r="J26" s="25"/>
      <c r="K26" s="26"/>
      <c r="L26" s="125" t="s">
        <v>17</v>
      </c>
      <c r="M26" s="125"/>
      <c r="N26" s="125"/>
      <c r="O26" s="125"/>
    </row>
    <row r="27" spans="1:15" s="27" customFormat="1" ht="15" customHeight="1" x14ac:dyDescent="0.2">
      <c r="A27" s="56" t="s">
        <v>42</v>
      </c>
      <c r="B27" s="25"/>
      <c r="C27" s="40">
        <v>0</v>
      </c>
      <c r="D27" s="49" t="s">
        <v>18</v>
      </c>
      <c r="E27" s="24"/>
      <c r="F27" s="70"/>
      <c r="G27" s="70"/>
      <c r="H27" s="70"/>
      <c r="I27" s="65"/>
      <c r="J27" s="25"/>
      <c r="K27" s="26"/>
      <c r="L27" s="125" t="s">
        <v>37</v>
      </c>
      <c r="M27" s="125"/>
      <c r="N27" s="125"/>
      <c r="O27" s="125"/>
    </row>
    <row r="28" spans="1:15" s="27" customFormat="1" ht="15" customHeight="1" x14ac:dyDescent="0.25">
      <c r="A28" s="56" t="s">
        <v>43</v>
      </c>
      <c r="B28" s="25"/>
      <c r="C28" s="40">
        <v>0</v>
      </c>
      <c r="D28" s="49" t="s">
        <v>18</v>
      </c>
      <c r="E28" s="24"/>
      <c r="F28" s="23" t="str">
        <f>IF(AND(C18&gt;0,A18="          di cui lavoro notturno"),"Confronto salario orario - Lavoro notturno:",IF(AND(C18&gt;0,A18="          di cui lavoro di sabato"),"Confronto salario orario - Lavoro di sabato:",IF(AND(C18&gt;0,A18="          di cui lavoro domenicale"),"Confronto salario orario - Lavoro domenicale:","")))</f>
        <v/>
      </c>
      <c r="G28" s="25"/>
      <c r="H28" s="25"/>
      <c r="I28" s="25"/>
      <c r="J28" s="25"/>
      <c r="K28" s="26"/>
      <c r="L28" s="126">
        <f>C27/C31*100</f>
        <v>0</v>
      </c>
      <c r="M28" s="125"/>
      <c r="N28" s="125"/>
      <c r="O28" s="125"/>
    </row>
    <row r="29" spans="1:15" s="27" customFormat="1" ht="35.25" customHeight="1" x14ac:dyDescent="0.2">
      <c r="A29" s="56" t="s">
        <v>63</v>
      </c>
      <c r="B29" s="25"/>
      <c r="C29" s="40">
        <v>0</v>
      </c>
      <c r="D29" s="49" t="s">
        <v>18</v>
      </c>
      <c r="E29" s="24"/>
      <c r="F29" s="25"/>
      <c r="G29" s="256" t="str">
        <f>IF(C18&gt;0,"Restribuzione effettiva nel Paese di provenienza","")</f>
        <v/>
      </c>
      <c r="H29" s="256"/>
      <c r="I29" s="256" t="str">
        <f>IF(C18&gt;0,"Retribuzione preventivata in Svizzera","")</f>
        <v/>
      </c>
      <c r="J29" s="256"/>
      <c r="K29" s="26"/>
      <c r="L29" s="126">
        <f>C28/C31*100</f>
        <v>0</v>
      </c>
      <c r="M29" s="125"/>
      <c r="N29" s="125"/>
      <c r="O29" s="125"/>
    </row>
    <row r="30" spans="1:15" s="27" customFormat="1" ht="15" customHeight="1" x14ac:dyDescent="0.2">
      <c r="A30" s="56" t="s">
        <v>65</v>
      </c>
      <c r="B30" s="25"/>
      <c r="C30" s="40">
        <v>0</v>
      </c>
      <c r="D30" s="237" t="s">
        <v>33</v>
      </c>
      <c r="E30" s="24"/>
      <c r="F30" s="25" t="str">
        <f>IF(C18&gt;0,"Salario di base","")</f>
        <v/>
      </c>
      <c r="G30" s="72" t="str">
        <f>IF(C18&gt;0,$H30*$C$42,"")</f>
        <v/>
      </c>
      <c r="H30" s="73" t="str">
        <f>IF(AND(C18&gt;0,D14="euro all'ora"),C14,IF(AND(C18&gt;0,D14="euro al mese"),C14/((C22*52)/12),""))</f>
        <v/>
      </c>
      <c r="I30" s="74" t="str">
        <f>IF(C18&gt;0,$J30/$C$42,"")</f>
        <v/>
      </c>
      <c r="J30" s="72" t="str">
        <f>IF(C18&gt;0,C35,"")</f>
        <v/>
      </c>
      <c r="K30" s="26"/>
      <c r="L30" s="126">
        <f>C29/C31*100</f>
        <v>0</v>
      </c>
      <c r="M30" s="125"/>
      <c r="N30" s="125"/>
      <c r="O30" s="125"/>
    </row>
    <row r="31" spans="1:15" s="27" customFormat="1" ht="15" customHeight="1" x14ac:dyDescent="0.2">
      <c r="A31" s="25" t="str">
        <f>IF(OR(D27="euro all'anno",D28="euro all'anno",D29="euro all'anno",D30="euro all'anno"),"Salario mensile","")</f>
        <v>Salario mensile</v>
      </c>
      <c r="B31" s="25"/>
      <c r="C31" s="1">
        <v>1.0000000000000001E-15</v>
      </c>
      <c r="D31" s="25" t="str">
        <f>IF(A31="Salario mensile","euro al mese","")</f>
        <v>euro al mese</v>
      </c>
      <c r="E31" s="25"/>
      <c r="F31" s="25" t="str">
        <f>IF(A19="          supplemento lavoro notturno","Supplemento lavoro notturno",IF(A19="          supplemento lavoro di sabato","Supplemento lavoro di sabato", IF(A19="          supplemento lavoro domenicale","Supplemento lavoro domenicale","")))</f>
        <v/>
      </c>
      <c r="G31" s="73" t="str">
        <f>IF(C18&gt;0,H31*C42,"")</f>
        <v/>
      </c>
      <c r="H31" s="73" t="str">
        <f>IF(C18&gt;0,C19,"")</f>
        <v/>
      </c>
      <c r="I31" s="73" t="str">
        <f>IF(C18&gt;0,$J$31/$C$42,"")</f>
        <v/>
      </c>
      <c r="J31" s="72" t="str">
        <f>IF(AND(C18&gt;0,C40=""),J30*B40,IF(C18&gt;0,J30*C40/100,""))</f>
        <v/>
      </c>
      <c r="K31" s="26"/>
      <c r="L31" s="126">
        <f>C30/C31*100</f>
        <v>0</v>
      </c>
      <c r="M31" s="125"/>
      <c r="N31" s="125"/>
      <c r="O31" s="125"/>
    </row>
    <row r="32" spans="1:15" s="27" customFormat="1" ht="15" customHeight="1" x14ac:dyDescent="0.25">
      <c r="A32" s="25"/>
      <c r="B32" s="23"/>
      <c r="C32" s="25"/>
      <c r="D32" s="25"/>
      <c r="E32" s="24"/>
      <c r="F32" s="25" t="str">
        <f>IF(C18&gt;0,"Compensato sotto forma die capitale","")</f>
        <v/>
      </c>
      <c r="G32" s="73" t="str">
        <f>IF(C18&gt;0,H32*C$42,"")</f>
        <v/>
      </c>
      <c r="H32" s="73" t="str">
        <f>IF(C18&gt;0,C21/((52*C22)/12),"")</f>
        <v/>
      </c>
      <c r="I32" s="257"/>
      <c r="J32" s="257"/>
      <c r="K32" s="26"/>
      <c r="L32" s="125"/>
      <c r="M32" s="125"/>
      <c r="N32" s="125"/>
      <c r="O32" s="125"/>
    </row>
    <row r="33" spans="1:15" s="27" customFormat="1" ht="15" customHeight="1" x14ac:dyDescent="0.25">
      <c r="A33" s="23" t="s">
        <v>11</v>
      </c>
      <c r="B33" s="25"/>
      <c r="C33" s="75"/>
      <c r="D33" s="25"/>
      <c r="E33" s="24"/>
      <c r="F33" s="25" t="str">
        <f>IF(C18&gt;0,"Indennità di vacanza","")</f>
        <v/>
      </c>
      <c r="G33" s="73" t="str">
        <f>IF(C18&gt;0,$H33*$C$42,"")</f>
        <v/>
      </c>
      <c r="H33" s="73" t="str">
        <f>IF(C18&gt;0,(H30+H32)*(C23/(260-C23)),"")</f>
        <v/>
      </c>
      <c r="I33" s="73" t="str">
        <f>IF(C18&gt;0,$J33/$C$42,"")</f>
        <v/>
      </c>
      <c r="J33" s="72" t="str">
        <f>IF(C18&gt;0,(J30)*(C36/(260-C36)),"")</f>
        <v/>
      </c>
      <c r="K33" s="26"/>
      <c r="L33" s="125"/>
      <c r="M33" s="125"/>
      <c r="N33" s="125"/>
      <c r="O33" s="125"/>
    </row>
    <row r="34" spans="1:15" s="27" customFormat="1" ht="15" customHeight="1" x14ac:dyDescent="0.2">
      <c r="A34" s="25"/>
      <c r="B34" s="25"/>
      <c r="C34" s="75"/>
      <c r="D34" s="25"/>
      <c r="E34" s="24"/>
      <c r="F34" s="25" t="str">
        <f>IF(C18&gt;0,"Indennità festiva","")</f>
        <v/>
      </c>
      <c r="G34" s="73" t="str">
        <f>IF(C18&gt;0,$H34*$C$42,"")</f>
        <v/>
      </c>
      <c r="H34" s="73" t="str">
        <f>IF(C18&gt;0,(H30+H32)*(C24/(260-C24)),"")</f>
        <v/>
      </c>
      <c r="I34" s="73" t="str">
        <f>IF(C18&gt;0,$J34/$C$42,"")</f>
        <v/>
      </c>
      <c r="J34" s="72" t="str">
        <f>IF(C18&gt;0,(J30)*(C37/(260-C37)),"")</f>
        <v/>
      </c>
      <c r="K34" s="76"/>
      <c r="L34" s="125"/>
      <c r="M34" s="125"/>
      <c r="N34" s="125"/>
      <c r="O34" s="125"/>
    </row>
    <row r="35" spans="1:15" s="27" customFormat="1" ht="15" customHeight="1" x14ac:dyDescent="0.2">
      <c r="A35" s="56" t="s">
        <v>4</v>
      </c>
      <c r="B35" s="25"/>
      <c r="C35" s="40">
        <v>0</v>
      </c>
      <c r="D35" s="25" t="s">
        <v>1</v>
      </c>
      <c r="E35" s="24"/>
      <c r="F35" s="25" t="str">
        <f>IF(C18&gt;0,"13a mensilità","")</f>
        <v/>
      </c>
      <c r="G35" s="73" t="str">
        <f>IF(C18&gt;0,$H35*$C$42,"")</f>
        <v/>
      </c>
      <c r="H35" s="72" t="str">
        <f>IF(C18&gt;0,IF(D27="euro all'anno",(H13+H14+H15+H16)*L28/100*1/12,IF(D27="% di un mese di salario",(H13+H14+H15+H16)*C27/100*1/12,(H13+H14+H15+H16)*C27/100)),"")</f>
        <v/>
      </c>
      <c r="I35" s="73" t="str">
        <f>IF(C18&gt;0,$J35/$C$42,"")</f>
        <v/>
      </c>
      <c r="J35" s="72" t="str">
        <f>IF(C18&gt;0,(SUM(J30:J34)-J31)*(C38/100)*(1/12),"")</f>
        <v/>
      </c>
      <c r="K35" s="76"/>
      <c r="L35" s="125"/>
      <c r="M35" s="125"/>
      <c r="N35" s="125"/>
      <c r="O35" s="125"/>
    </row>
    <row r="36" spans="1:15" s="27" customFormat="1" ht="15" customHeight="1" x14ac:dyDescent="0.2">
      <c r="A36" s="56" t="s">
        <v>8</v>
      </c>
      <c r="B36" s="25"/>
      <c r="C36" s="40">
        <v>0</v>
      </c>
      <c r="D36" s="25" t="s">
        <v>13</v>
      </c>
      <c r="E36" s="24"/>
      <c r="F36" s="25" t="str">
        <f>IF(C18&gt;0,"14a mensilità","")</f>
        <v/>
      </c>
      <c r="G36" s="73" t="str">
        <f>IF(C18&gt;0,$H36*$C$42,"")</f>
        <v/>
      </c>
      <c r="H36" s="72" t="str">
        <f>IF(C18&gt;0,IF(D28="euro all'anno",(H13+H14+H15+H16)*L29/100*1/12,IF(D28="% di un mese di salario",(H13+H14+H15+H16)*C28/100*1/12,(H13+H14+H15+H16)*C28/100)),"")</f>
        <v/>
      </c>
      <c r="I36" s="73" t="str">
        <f>IF(C18&gt;0,$J36/$C$42,"")</f>
        <v/>
      </c>
      <c r="J36" s="72" t="str">
        <f>IF(C18&gt;0,(SUM(J30:J34)-J31)*(C39/100)*(1/12),"")</f>
        <v/>
      </c>
      <c r="K36" s="76"/>
      <c r="L36" s="125"/>
      <c r="M36" s="125"/>
      <c r="N36" s="125"/>
      <c r="O36" s="125"/>
    </row>
    <row r="37" spans="1:15" s="27" customFormat="1" ht="15" customHeight="1" x14ac:dyDescent="0.2">
      <c r="A37" s="56" t="s">
        <v>9</v>
      </c>
      <c r="B37" s="25"/>
      <c r="C37" s="40">
        <v>0</v>
      </c>
      <c r="D37" s="25" t="s">
        <v>13</v>
      </c>
      <c r="E37" s="24"/>
      <c r="F37" s="25" t="str">
        <f>IF(C18&gt;0,"Assegno per ferie","")</f>
        <v/>
      </c>
      <c r="G37" s="73" t="str">
        <f>IF(C18&gt;0,$H37*$C$42,"")</f>
        <v/>
      </c>
      <c r="H37" s="72" t="str">
        <f>IF(C18&gt;0,IF(D29="euro all'anno",(H13+H14+H15+H16)*L30/100*1/12,IF(D29="% di un mese di salario",(H13+H14+H15+H16)*C29/100*1/12,(H13+H14+H15+H16)*C29/100)),"")</f>
        <v/>
      </c>
      <c r="I37" s="137"/>
      <c r="J37" s="137"/>
      <c r="K37" s="76"/>
      <c r="L37" s="125"/>
      <c r="M37" s="125"/>
      <c r="N37" s="125"/>
      <c r="O37" s="125"/>
    </row>
    <row r="38" spans="1:15" s="27" customFormat="1" ht="15" customHeight="1" x14ac:dyDescent="0.2">
      <c r="A38" s="56" t="s">
        <v>42</v>
      </c>
      <c r="B38" s="25"/>
      <c r="C38" s="40">
        <v>0</v>
      </c>
      <c r="D38" s="25" t="s">
        <v>2</v>
      </c>
      <c r="E38" s="24"/>
      <c r="F38" s="25" t="str">
        <f>IF(C18&gt;0,"Gratifica natalizia","")</f>
        <v/>
      </c>
      <c r="G38" s="73" t="str">
        <f>IF(C18&gt;0,$H38*$C$42,"")</f>
        <v/>
      </c>
      <c r="H38" s="72" t="str">
        <f>IF(C18&gt;0,IF(D30="euro all'anno",(H13+H14+H15+H16)*L31/100*1/12,IF(D30="% di un mese di salario",(H13+H14+H15+H16)*C30/100*1/12,(H13+H14+H15+H16)*C30/100)),"")</f>
        <v/>
      </c>
      <c r="I38" s="137"/>
      <c r="J38" s="137"/>
      <c r="K38" s="76"/>
      <c r="L38" s="125"/>
      <c r="M38" s="125"/>
      <c r="N38" s="125"/>
      <c r="O38" s="125"/>
    </row>
    <row r="39" spans="1:15" s="27" customFormat="1" ht="15" customHeight="1" x14ac:dyDescent="0.2">
      <c r="A39" s="56" t="s">
        <v>67</v>
      </c>
      <c r="C39" s="40">
        <v>0</v>
      </c>
      <c r="D39" s="25" t="s">
        <v>2</v>
      </c>
      <c r="E39" s="24"/>
      <c r="F39" s="25" t="str">
        <f>IF(C18&gt;0,"Indennità supplementare","")</f>
        <v/>
      </c>
      <c r="G39" s="73" t="str">
        <f>IF(C18&gt;0,$H39*$C$42,"")</f>
        <v/>
      </c>
      <c r="H39" s="73" t="str">
        <f>IF(C18&gt;0,C26,"")</f>
        <v/>
      </c>
      <c r="I39" s="72"/>
      <c r="J39" s="72"/>
      <c r="K39" s="76"/>
      <c r="L39" s="125"/>
      <c r="M39" s="125"/>
      <c r="N39" s="125"/>
      <c r="O39" s="125"/>
    </row>
    <row r="40" spans="1:15" s="80" customFormat="1" ht="15" x14ac:dyDescent="0.2">
      <c r="A40" s="56" t="str">
        <f>IF(AND(A18="          di cui lavoro notturno",C18&gt;0),"          supplemento lavoro notturno",IF(AND(A18="          di cui lavoro di sabato",C18&gt;0),"          supplemento lavoro di sabato",IF(AND(A18="          di cui lavoro domenicale",C18&gt;0),"          supplemento lavoro domenicale","")))</f>
        <v/>
      </c>
      <c r="B40" s="77" t="str">
        <f>IF(A40="          supplemento lavoro notturno",0.25,IF(A40="          supplemento lavoro di sabato",0,IF(A40="          supplemento lavoro domenicale",0.5,"")))</f>
        <v/>
      </c>
      <c r="C40" s="78"/>
      <c r="D40" s="238" t="str">
        <f>IF(C18&gt;0,"%","")</f>
        <v/>
      </c>
      <c r="E40" s="24"/>
      <c r="F40" s="25" t="str">
        <f>IF(C18&gt;0,"Indennità lavoro distaccato","")</f>
        <v/>
      </c>
      <c r="G40" s="73" t="str">
        <f>IF(C18&gt;0,H40*C42,"")</f>
        <v/>
      </c>
      <c r="H40" s="73" t="str">
        <f>IF(AND(C18&gt;0,D25="euro per la durata dell'impiego"),(($C$25)-(((C16*C43)+(C15*C44))/C42))/C17,IF(AND(C18&gt;0,D25="euro al giorno"),((C25*C15)-((C43*C16+C44*C15)/C42))/C17,""))</f>
        <v/>
      </c>
      <c r="I40" s="72"/>
      <c r="J40" s="72"/>
      <c r="K40" s="76"/>
      <c r="L40" s="125"/>
      <c r="M40" s="125"/>
      <c r="N40" s="125"/>
      <c r="O40" s="127"/>
    </row>
    <row r="41" spans="1:15" ht="15" customHeight="1" x14ac:dyDescent="0.25">
      <c r="A41" s="21"/>
      <c r="B41" s="25"/>
      <c r="C41" s="21"/>
      <c r="D41" s="238"/>
      <c r="E41" s="22"/>
      <c r="F41" s="25" t="str">
        <f>IF(C18&gt;0,"Salario orario lordo","")</f>
        <v/>
      </c>
      <c r="G41" s="81" t="str">
        <f>IF(C18&gt;0,SUM(G30:G40),"")</f>
        <v/>
      </c>
      <c r="H41" s="81" t="str">
        <f>IF(C18&gt;0,SUM(H30:H40),"")</f>
        <v/>
      </c>
      <c r="I41" s="81" t="str">
        <f>IF(C18&gt;0,SUM(I30:I36),"")</f>
        <v/>
      </c>
      <c r="J41" s="82" t="str">
        <f>IF(C18&gt;0,SUM(J30:J36),"")</f>
        <v/>
      </c>
      <c r="K41" s="5"/>
    </row>
    <row r="42" spans="1:15" ht="15" customHeight="1" x14ac:dyDescent="0.2">
      <c r="A42" s="239" t="s">
        <v>68</v>
      </c>
      <c r="B42" s="235" t="s">
        <v>171</v>
      </c>
      <c r="C42" s="83">
        <v>0.98440000000000005</v>
      </c>
      <c r="D42" s="25" t="s">
        <v>19</v>
      </c>
      <c r="E42" s="22"/>
      <c r="F42" s="4"/>
      <c r="G42" s="4"/>
      <c r="H42" s="4"/>
      <c r="I42" s="4"/>
      <c r="J42" s="4"/>
      <c r="K42" s="5"/>
    </row>
    <row r="43" spans="1:15" ht="15" customHeight="1" x14ac:dyDescent="0.2">
      <c r="A43" s="56" t="s">
        <v>44</v>
      </c>
      <c r="B43" s="25"/>
      <c r="C43" s="40">
        <v>0</v>
      </c>
      <c r="D43" s="25" t="s">
        <v>1</v>
      </c>
      <c r="E43" s="22"/>
      <c r="F43" s="25"/>
      <c r="G43" s="137" t="str">
        <f>IF(C18&gt;0,"CHF","")</f>
        <v/>
      </c>
      <c r="H43" s="137" t="str">
        <f>IF(C18&gt;0,"euro","")</f>
        <v/>
      </c>
      <c r="I43" s="4"/>
      <c r="J43" s="4"/>
      <c r="K43" s="5"/>
    </row>
    <row r="44" spans="1:15" ht="15" customHeight="1" x14ac:dyDescent="0.25">
      <c r="A44" s="56" t="s">
        <v>45</v>
      </c>
      <c r="B44" s="21"/>
      <c r="C44" s="84">
        <v>0</v>
      </c>
      <c r="D44" s="25" t="s">
        <v>1</v>
      </c>
      <c r="E44" s="22"/>
      <c r="F44" s="85" t="str">
        <f>IF(AND(C18&gt;0,A18="          di cui lavoro notturno"),"Differenza salario orario lordo - lavoro di notturno",IF(AND(C18&gt;0,A18="          di cui lavoro di sabato"),"Differenza salario orario lordo - lavoro di sabato",IF(AND(C18&gt;0,A18="          di cui lavoro domenicale"),"Differenzia salario orario lordo - lavoro domenicale","")))</f>
        <v/>
      </c>
      <c r="G44" s="86" t="str">
        <f>IF(C18&gt;0,G41-J41,"")</f>
        <v/>
      </c>
      <c r="H44" s="87" t="str">
        <f>IF(C18&gt;0,H41-I41,"")</f>
        <v/>
      </c>
      <c r="I44" s="24"/>
      <c r="J44" s="24"/>
      <c r="K44" s="5"/>
    </row>
    <row r="45" spans="1:15" ht="14.25" customHeight="1" x14ac:dyDescent="0.2">
      <c r="A45" s="21"/>
      <c r="B45" s="21"/>
      <c r="C45" s="21"/>
      <c r="D45" s="22"/>
      <c r="E45" s="22"/>
      <c r="F45" s="4"/>
      <c r="G45" s="4"/>
      <c r="H45" s="4"/>
      <c r="I45" s="4"/>
      <c r="J45" s="4"/>
      <c r="K45" s="5"/>
    </row>
    <row r="46" spans="1:15" s="89" customFormat="1" ht="22.5" customHeight="1" x14ac:dyDescent="0.2">
      <c r="A46" s="21"/>
      <c r="B46" s="24"/>
      <c r="C46" s="21"/>
      <c r="D46" s="22"/>
      <c r="E46" s="24"/>
      <c r="F46" s="25"/>
      <c r="G46" s="137" t="s">
        <v>1</v>
      </c>
      <c r="H46" s="137" t="s">
        <v>21</v>
      </c>
      <c r="I46" s="4"/>
      <c r="J46" s="4"/>
      <c r="K46" s="88"/>
      <c r="L46" s="128"/>
      <c r="M46" s="128"/>
      <c r="N46" s="128"/>
      <c r="O46" s="128"/>
    </row>
    <row r="47" spans="1:15" s="89" customFormat="1" ht="15.75" customHeight="1" x14ac:dyDescent="0.25">
      <c r="A47" s="24"/>
      <c r="C47" s="21"/>
      <c r="D47" s="22"/>
      <c r="E47" s="24"/>
      <c r="F47" s="67" t="s">
        <v>32</v>
      </c>
      <c r="G47" s="68">
        <f>IF(C18&gt;0,G26*(C17-C18)+G44*C18,G26*C17)</f>
        <v>0</v>
      </c>
      <c r="H47" s="90">
        <f>IF(C18&gt;0,H26*(C17-C18)+H44*C18,H26*C17)</f>
        <v>0</v>
      </c>
      <c r="I47" s="4"/>
      <c r="J47" s="4"/>
      <c r="K47" s="88"/>
      <c r="L47" s="128"/>
      <c r="M47" s="128"/>
      <c r="N47" s="128"/>
      <c r="O47" s="128"/>
    </row>
    <row r="48" spans="1:15" s="89" customFormat="1" ht="19.5" customHeight="1" x14ac:dyDescent="0.25">
      <c r="A48" s="91" t="s">
        <v>26</v>
      </c>
      <c r="B48" s="24"/>
      <c r="C48" s="24"/>
      <c r="D48" s="24"/>
      <c r="E48" s="132"/>
      <c r="F48" s="24"/>
      <c r="G48" s="24"/>
      <c r="H48" s="24"/>
      <c r="I48" s="4"/>
      <c r="J48" s="4"/>
      <c r="K48" s="133"/>
      <c r="L48" s="128"/>
      <c r="M48" s="128"/>
      <c r="N48" s="128"/>
      <c r="O48" s="128"/>
    </row>
    <row r="49" spans="1:15" s="89" customFormat="1" ht="20.100000000000001" customHeight="1" x14ac:dyDescent="0.2">
      <c r="A49" s="122" t="s">
        <v>119</v>
      </c>
      <c r="B49" s="248" t="s">
        <v>120</v>
      </c>
      <c r="C49" s="248"/>
      <c r="D49" s="248"/>
      <c r="E49" s="248"/>
      <c r="F49" s="248"/>
      <c r="G49" s="248"/>
      <c r="H49" s="248"/>
      <c r="I49" s="248"/>
      <c r="J49" s="248"/>
      <c r="K49" s="133"/>
      <c r="L49" s="129"/>
      <c r="M49" s="129"/>
      <c r="N49" s="128"/>
      <c r="O49" s="128"/>
    </row>
    <row r="50" spans="1:15" s="89" customFormat="1" ht="38.25" customHeight="1" x14ac:dyDescent="0.2">
      <c r="A50" s="221" t="s">
        <v>27</v>
      </c>
      <c r="B50" s="248" t="s">
        <v>69</v>
      </c>
      <c r="C50" s="248"/>
      <c r="D50" s="248"/>
      <c r="E50" s="248"/>
      <c r="F50" s="248"/>
      <c r="G50" s="248"/>
      <c r="H50" s="248"/>
      <c r="I50" s="248"/>
      <c r="J50" s="248"/>
      <c r="K50" s="135"/>
      <c r="L50" s="129"/>
      <c r="M50" s="129"/>
      <c r="N50" s="128"/>
      <c r="O50" s="128"/>
    </row>
    <row r="51" spans="1:15" s="89" customFormat="1" ht="80.25" customHeight="1" x14ac:dyDescent="0.2">
      <c r="A51" s="95"/>
      <c r="B51" s="248" t="s">
        <v>121</v>
      </c>
      <c r="C51" s="248"/>
      <c r="D51" s="248"/>
      <c r="E51" s="248"/>
      <c r="F51" s="248"/>
      <c r="G51" s="248"/>
      <c r="H51" s="248"/>
      <c r="I51" s="248"/>
      <c r="J51" s="248"/>
      <c r="K51" s="133"/>
      <c r="L51" s="129"/>
      <c r="M51" s="129"/>
      <c r="N51" s="128"/>
      <c r="O51" s="128"/>
    </row>
    <row r="52" spans="1:15" s="89" customFormat="1" ht="63" customHeight="1" x14ac:dyDescent="0.2">
      <c r="A52" s="222" t="s">
        <v>28</v>
      </c>
      <c r="B52" s="240" t="s">
        <v>46</v>
      </c>
      <c r="C52" s="240"/>
      <c r="D52" s="240"/>
      <c r="E52" s="240"/>
      <c r="F52" s="240"/>
      <c r="G52" s="240"/>
      <c r="H52" s="240"/>
      <c r="I52" s="240"/>
      <c r="J52" s="240"/>
      <c r="K52" s="135"/>
      <c r="L52" s="129"/>
      <c r="M52" s="129"/>
      <c r="N52" s="128"/>
      <c r="O52" s="128"/>
    </row>
    <row r="53" spans="1:15" s="89" customFormat="1" ht="169.5" customHeight="1" x14ac:dyDescent="0.2">
      <c r="A53" s="222" t="s">
        <v>47</v>
      </c>
      <c r="B53" s="242" t="s">
        <v>74</v>
      </c>
      <c r="C53" s="242"/>
      <c r="D53" s="242"/>
      <c r="E53" s="242"/>
      <c r="F53" s="242"/>
      <c r="G53" s="242"/>
      <c r="H53" s="242"/>
      <c r="I53" s="242"/>
      <c r="J53" s="242"/>
      <c r="K53" s="243"/>
      <c r="L53" s="130"/>
      <c r="M53" s="129"/>
      <c r="N53" s="128"/>
      <c r="O53" s="128"/>
    </row>
    <row r="54" spans="1:15" s="89" customFormat="1" ht="48.75" customHeight="1" x14ac:dyDescent="0.2">
      <c r="A54" s="131"/>
      <c r="B54" s="250" t="s">
        <v>55</v>
      </c>
      <c r="C54" s="251"/>
      <c r="D54" s="251"/>
      <c r="E54" s="251"/>
      <c r="F54" s="251"/>
      <c r="G54" s="251"/>
      <c r="H54" s="251"/>
      <c r="I54" s="251"/>
      <c r="J54" s="251"/>
      <c r="K54" s="252"/>
      <c r="L54" s="129"/>
      <c r="M54" s="129"/>
      <c r="N54" s="128"/>
      <c r="O54" s="128"/>
    </row>
    <row r="55" spans="1:15" s="89" customFormat="1" ht="58.5" customHeight="1" x14ac:dyDescent="0.2">
      <c r="A55" s="222" t="s">
        <v>48</v>
      </c>
      <c r="B55" s="246" t="s">
        <v>70</v>
      </c>
      <c r="C55" s="246"/>
      <c r="D55" s="246"/>
      <c r="E55" s="246"/>
      <c r="F55" s="246"/>
      <c r="G55" s="246"/>
      <c r="H55" s="246"/>
      <c r="I55" s="246"/>
      <c r="J55" s="246"/>
      <c r="K55" s="247"/>
      <c r="L55" s="129"/>
      <c r="M55" s="129"/>
      <c r="N55" s="128"/>
      <c r="O55" s="128"/>
    </row>
    <row r="56" spans="1:15" s="89" customFormat="1" ht="39" customHeight="1" x14ac:dyDescent="0.2">
      <c r="A56" s="222" t="s">
        <v>29</v>
      </c>
      <c r="B56" s="248" t="s">
        <v>71</v>
      </c>
      <c r="C56" s="248"/>
      <c r="D56" s="248"/>
      <c r="E56" s="248"/>
      <c r="F56" s="248"/>
      <c r="G56" s="248"/>
      <c r="H56" s="248"/>
      <c r="I56" s="248"/>
      <c r="J56" s="248"/>
      <c r="K56" s="249"/>
      <c r="L56" s="129"/>
      <c r="M56" s="129"/>
      <c r="N56" s="128"/>
      <c r="O56" s="128"/>
    </row>
    <row r="57" spans="1:15" s="89" customFormat="1" ht="30.75" customHeight="1" x14ac:dyDescent="0.2">
      <c r="A57" s="131"/>
      <c r="B57" s="248" t="s">
        <v>53</v>
      </c>
      <c r="C57" s="248"/>
      <c r="D57" s="248"/>
      <c r="E57" s="248"/>
      <c r="F57" s="248"/>
      <c r="G57" s="248"/>
      <c r="H57" s="248"/>
      <c r="I57" s="248"/>
      <c r="J57" s="248"/>
      <c r="K57" s="249"/>
      <c r="L57" s="129"/>
      <c r="M57" s="129"/>
      <c r="N57" s="128"/>
      <c r="O57" s="128"/>
    </row>
    <row r="58" spans="1:15" s="89" customFormat="1" ht="51.75" customHeight="1" x14ac:dyDescent="0.2">
      <c r="A58" s="96"/>
      <c r="B58" s="248" t="s">
        <v>54</v>
      </c>
      <c r="C58" s="248"/>
      <c r="D58" s="248"/>
      <c r="E58" s="248"/>
      <c r="F58" s="248"/>
      <c r="G58" s="248"/>
      <c r="H58" s="248"/>
      <c r="I58" s="248"/>
      <c r="J58" s="248"/>
      <c r="K58" s="249"/>
      <c r="L58" s="129"/>
      <c r="M58" s="129"/>
      <c r="N58" s="128"/>
      <c r="O58" s="128"/>
    </row>
    <row r="59" spans="1:15" s="89" customFormat="1" ht="32.25" customHeight="1" x14ac:dyDescent="0.2">
      <c r="A59" s="222" t="s">
        <v>30</v>
      </c>
      <c r="B59" s="240" t="s">
        <v>49</v>
      </c>
      <c r="C59" s="240"/>
      <c r="D59" s="240"/>
      <c r="E59" s="240"/>
      <c r="F59" s="240"/>
      <c r="G59" s="240"/>
      <c r="H59" s="240"/>
      <c r="I59" s="240"/>
      <c r="J59" s="240"/>
      <c r="K59" s="241"/>
      <c r="L59" s="129"/>
      <c r="M59" s="129"/>
      <c r="N59" s="128"/>
      <c r="O59" s="128"/>
    </row>
    <row r="60" spans="1:15" s="89" customFormat="1" ht="101.25" customHeight="1" x14ac:dyDescent="0.2">
      <c r="A60" s="222" t="s">
        <v>50</v>
      </c>
      <c r="B60" s="248" t="s">
        <v>72</v>
      </c>
      <c r="C60" s="248"/>
      <c r="D60" s="248"/>
      <c r="E60" s="248"/>
      <c r="F60" s="248"/>
      <c r="G60" s="248"/>
      <c r="H60" s="248"/>
      <c r="I60" s="248"/>
      <c r="J60" s="248"/>
      <c r="K60" s="249"/>
      <c r="L60" s="129"/>
      <c r="M60" s="129"/>
      <c r="N60" s="128"/>
      <c r="O60" s="128"/>
    </row>
    <row r="61" spans="1:15" s="89" customFormat="1" ht="36" customHeight="1" x14ac:dyDescent="0.2">
      <c r="A61" s="222" t="s">
        <v>51</v>
      </c>
      <c r="B61" s="240" t="s">
        <v>52</v>
      </c>
      <c r="C61" s="240"/>
      <c r="D61" s="240"/>
      <c r="E61" s="240"/>
      <c r="F61" s="240"/>
      <c r="G61" s="240"/>
      <c r="H61" s="240"/>
      <c r="I61" s="240"/>
      <c r="J61" s="240"/>
      <c r="K61" s="241"/>
      <c r="L61" s="129"/>
      <c r="M61" s="129"/>
      <c r="N61" s="128"/>
      <c r="O61" s="128"/>
    </row>
    <row r="62" spans="1:15" s="89" customFormat="1" ht="45" customHeight="1" x14ac:dyDescent="0.2">
      <c r="A62" s="222" t="s">
        <v>31</v>
      </c>
      <c r="B62" s="242" t="s">
        <v>56</v>
      </c>
      <c r="C62" s="242"/>
      <c r="D62" s="242"/>
      <c r="E62" s="242"/>
      <c r="F62" s="242"/>
      <c r="G62" s="242"/>
      <c r="H62" s="242"/>
      <c r="I62" s="242"/>
      <c r="J62" s="242"/>
      <c r="K62" s="243"/>
      <c r="L62" s="129"/>
      <c r="M62" s="129"/>
      <c r="N62" s="128"/>
      <c r="O62" s="128"/>
    </row>
    <row r="63" spans="1:15" ht="15" x14ac:dyDescent="0.2">
      <c r="A63" s="97"/>
      <c r="B63" s="98"/>
      <c r="C63" s="99"/>
      <c r="D63" s="99"/>
      <c r="E63" s="98"/>
      <c r="F63" s="134"/>
      <c r="G63" s="134"/>
      <c r="H63" s="134"/>
      <c r="I63" s="134"/>
      <c r="J63" s="134"/>
      <c r="K63" s="101"/>
    </row>
    <row r="64" spans="1:15" ht="15" x14ac:dyDescent="0.2">
      <c r="A64" s="2"/>
      <c r="B64" s="2"/>
      <c r="C64" s="2"/>
      <c r="D64" s="2"/>
      <c r="E64" s="2"/>
      <c r="F64" s="132"/>
      <c r="G64" s="132"/>
      <c r="H64" s="132"/>
      <c r="I64" s="132"/>
      <c r="J64" s="132"/>
    </row>
    <row r="65" spans="6:10" ht="15" x14ac:dyDescent="0.2">
      <c r="F65" s="103"/>
      <c r="G65" s="103"/>
      <c r="H65" s="103"/>
      <c r="I65" s="103"/>
      <c r="J65" s="103"/>
    </row>
    <row r="66" spans="6:10" x14ac:dyDescent="0.2">
      <c r="F66" s="104"/>
      <c r="G66" s="104"/>
      <c r="H66" s="104"/>
      <c r="I66" s="104"/>
      <c r="J66" s="104"/>
    </row>
  </sheetData>
  <sheetProtection password="C915" sheet="1" objects="1" scenarios="1"/>
  <mergeCells count="23">
    <mergeCell ref="F1:G1"/>
    <mergeCell ref="G11:H11"/>
    <mergeCell ref="I11:J11"/>
    <mergeCell ref="G29:H29"/>
    <mergeCell ref="I29:J29"/>
    <mergeCell ref="I32:J32"/>
    <mergeCell ref="B60:K60"/>
    <mergeCell ref="B49:J49"/>
    <mergeCell ref="B50:J50"/>
    <mergeCell ref="B51:J51"/>
    <mergeCell ref="B52:J52"/>
    <mergeCell ref="B53:K53"/>
    <mergeCell ref="B54:K54"/>
    <mergeCell ref="B61:K61"/>
    <mergeCell ref="B62:K62"/>
    <mergeCell ref="B5:E5"/>
    <mergeCell ref="B6:E6"/>
    <mergeCell ref="B7:E7"/>
    <mergeCell ref="B55:K55"/>
    <mergeCell ref="B56:K56"/>
    <mergeCell ref="B57:K57"/>
    <mergeCell ref="B58:K58"/>
    <mergeCell ref="B59:K59"/>
  </mergeCells>
  <conditionalFormatting sqref="C40">
    <cfRule type="expression" dxfId="49" priority="24" stopIfTrue="1">
      <formula>$C$18&gt;0</formula>
    </cfRule>
  </conditionalFormatting>
  <conditionalFormatting sqref="J33:J36 J41 J31 G31:G41">
    <cfRule type="expression" dxfId="48" priority="23" stopIfTrue="1">
      <formula>$C$18&gt;0</formula>
    </cfRule>
  </conditionalFormatting>
  <conditionalFormatting sqref="I33:I36 I31 H41:I41 F31:F41 H32:H40">
    <cfRule type="expression" dxfId="47" priority="22" stopIfTrue="1">
      <formula>$C$18&gt;0</formula>
    </cfRule>
  </conditionalFormatting>
  <conditionalFormatting sqref="J37:J40">
    <cfRule type="expression" dxfId="46" priority="21" stopIfTrue="1">
      <formula>$C$18&gt;0</formula>
    </cfRule>
  </conditionalFormatting>
  <conditionalFormatting sqref="G44">
    <cfRule type="expression" dxfId="45" priority="19" stopIfTrue="1">
      <formula>$C$18&gt;0</formula>
    </cfRule>
    <cfRule type="expression" dxfId="44" priority="20" stopIfTrue="1">
      <formula>$C$18&gt;0</formula>
    </cfRule>
  </conditionalFormatting>
  <conditionalFormatting sqref="F44">
    <cfRule type="expression" dxfId="43" priority="18" stopIfTrue="1">
      <formula>$C$18&gt;0</formula>
    </cfRule>
  </conditionalFormatting>
  <conditionalFormatting sqref="H44 H47">
    <cfRule type="expression" dxfId="42" priority="17" stopIfTrue="1">
      <formula>$C$18&gt;0</formula>
    </cfRule>
  </conditionalFormatting>
  <conditionalFormatting sqref="H31">
    <cfRule type="expression" dxfId="41" priority="16" stopIfTrue="1">
      <formula>$C$18&gt;0</formula>
    </cfRule>
  </conditionalFormatting>
  <conditionalFormatting sqref="F30">
    <cfRule type="containsText" dxfId="40" priority="13" stopIfTrue="1" operator="containsText" text="Grundlohn">
      <formula>NOT(ISERROR(SEARCH("Grundlohn",F30)))</formula>
    </cfRule>
    <cfRule type="containsText" priority="14" stopIfTrue="1" operator="containsText" text="Grundlohn">
      <formula>NOT(ISERROR(SEARCH("Grundlohn",F30)))</formula>
    </cfRule>
    <cfRule type="expression" dxfId="39" priority="15" stopIfTrue="1">
      <formula>$C$18&gt;0</formula>
    </cfRule>
  </conditionalFormatting>
  <conditionalFormatting sqref="G30">
    <cfRule type="expression" dxfId="38" priority="12" stopIfTrue="1">
      <formula>$C$18&gt;0</formula>
    </cfRule>
  </conditionalFormatting>
  <conditionalFormatting sqref="J30">
    <cfRule type="expression" dxfId="37" priority="11" stopIfTrue="1">
      <formula>$C$18&gt;0</formula>
    </cfRule>
  </conditionalFormatting>
  <conditionalFormatting sqref="H30">
    <cfRule type="expression" dxfId="36" priority="10" stopIfTrue="1">
      <formula>$C$18&gt;0</formula>
    </cfRule>
  </conditionalFormatting>
  <conditionalFormatting sqref="F38:H38">
    <cfRule type="expression" dxfId="35" priority="9" stopIfTrue="1">
      <formula>$C$18&gt;0</formula>
    </cfRule>
  </conditionalFormatting>
  <conditionalFormatting sqref="G38">
    <cfRule type="expression" dxfId="34" priority="8" stopIfTrue="1">
      <formula>$C$18&gt;0</formula>
    </cfRule>
  </conditionalFormatting>
  <conditionalFormatting sqref="G30:G41">
    <cfRule type="expression" dxfId="33" priority="7" stopIfTrue="1">
      <formula>$C$18&gt;0</formula>
    </cfRule>
  </conditionalFormatting>
  <conditionalFormatting sqref="G47">
    <cfRule type="expression" dxfId="32" priority="6" stopIfTrue="1">
      <formula>$C$18&gt;0</formula>
    </cfRule>
  </conditionalFormatting>
  <conditionalFormatting sqref="J30:J31">
    <cfRule type="expression" dxfId="31" priority="5" stopIfTrue="1">
      <formula>$C$18&gt;0</formula>
    </cfRule>
  </conditionalFormatting>
  <conditionalFormatting sqref="J33:J36">
    <cfRule type="expression" dxfId="30" priority="4" stopIfTrue="1">
      <formula>$C$18&gt;0</formula>
    </cfRule>
  </conditionalFormatting>
  <conditionalFormatting sqref="J41">
    <cfRule type="expression" dxfId="29" priority="3" stopIfTrue="1">
      <formula>$C$18&gt;0</formula>
    </cfRule>
  </conditionalFormatting>
  <conditionalFormatting sqref="G29:H29">
    <cfRule type="expression" dxfId="28" priority="2">
      <formula>$C$18&gt;0</formula>
    </cfRule>
  </conditionalFormatting>
  <conditionalFormatting sqref="I29:J29">
    <cfRule type="expression" dxfId="27" priority="1">
      <formula>$C$18&gt;0</formula>
    </cfRule>
  </conditionalFormatting>
  <dataValidations count="4">
    <dataValidation type="list" allowBlank="1" showInputMessage="1" showErrorMessage="1" sqref="D25">
      <formula1>$L$26:$L$27</formula1>
    </dataValidation>
    <dataValidation type="list" allowBlank="1" showInputMessage="1" showErrorMessage="1" sqref="D14">
      <formula1>$L$17:$L$18</formula1>
    </dataValidation>
    <dataValidation type="list" allowBlank="1" showInputMessage="1" showErrorMessage="1" sqref="D27:D30">
      <formula1>$L$11:$L$12</formula1>
    </dataValidation>
    <dataValidation type="list" allowBlank="1" showInputMessage="1" showErrorMessage="1" sqref="A18">
      <formula1>$L$14:$L$16</formula1>
    </dataValidation>
  </dataValidations>
  <hyperlinks>
    <hyperlink ref="A50" location="'SECO Direttiva'!A7" display="Salario di base:"/>
    <hyperlink ref="A52" location="'SECO Direttiva'!A32" display="Indennità supplementare:"/>
    <hyperlink ref="A53" location="'SECO Direttiva'!A19" display="Indennità lavoro distaccato:"/>
    <hyperlink ref="A60" location="'SECO Direttiva'!A59" display="13a/14a mensilità:"/>
    <hyperlink ref="A55" location="'SECO Direttiva'!A35" display="Compenso sotto forma di capitale:"/>
    <hyperlink ref="A56" location="'SECO Direttiva'!A40" display="Indennità di vacanza:"/>
    <hyperlink ref="A59" location="'SECO Direttiva'!A54" display="Indennità festiva:"/>
    <hyperlink ref="A61" location="'SECO Direttiva'!A67" display="Assegno per ferie/gratifica natalizia:"/>
    <hyperlink ref="A62" location="'SECO Direttiva'!A71" display="Tasso di cambio:"/>
    <hyperlink ref="A42" r:id="rId1"/>
    <hyperlink ref="A24" r:id="rId2"/>
  </hyperlinks>
  <printOptions horizontalCentered="1" gridLines="1"/>
  <pageMargins left="0.39370078740157483" right="0.39370078740157483" top="0.59055118110236227" bottom="0.59055118110236227" header="0.39370078740157483" footer="0.39370078740157483"/>
  <pageSetup paperSize="9" scale="59" fitToHeight="0" orientation="landscape" r:id="rId3"/>
  <headerFooter alignWithMargins="0">
    <oddFooter xml:space="preserve">&amp;L&amp;"Arial,Fett"&amp;9&amp;D / &amp;T&amp;C&amp;"Arial,Fett"&amp;9&amp;F </oddFooter>
  </headerFooter>
  <rowBreaks count="1" manualBreakCount="1">
    <brk id="47" max="10" man="1"/>
  </rowBreaks>
  <drawing r:id="rId4"/>
  <legacy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66"/>
  <sheetViews>
    <sheetView zoomScale="90" zoomScaleNormal="90" zoomScaleSheetLayoutView="100" workbookViewId="0"/>
  </sheetViews>
  <sheetFormatPr baseColWidth="10" defaultRowHeight="14.25" x14ac:dyDescent="0.2"/>
  <cols>
    <col min="1" max="1" width="49.85546875" style="6" customWidth="1"/>
    <col min="2" max="2" width="14.85546875" style="6" customWidth="1"/>
    <col min="3" max="3" width="11.42578125" style="6"/>
    <col min="4" max="4" width="23.140625" style="6" customWidth="1"/>
    <col min="5" max="5" width="17.140625" style="6" customWidth="1"/>
    <col min="6" max="6" width="56.140625" style="6" customWidth="1"/>
    <col min="7" max="7" width="15.42578125" style="6" customWidth="1"/>
    <col min="8" max="8" width="13" style="6" customWidth="1"/>
    <col min="9" max="9" width="14.42578125" style="6" customWidth="1"/>
    <col min="10" max="10" width="14.5703125" style="6" customWidth="1"/>
    <col min="11" max="11" width="11.42578125" style="102"/>
    <col min="12" max="15" width="11.42578125" style="123" customWidth="1"/>
    <col min="16" max="16384" width="11.42578125" style="6"/>
  </cols>
  <sheetData>
    <row r="1" spans="1:15" ht="63.75" customHeight="1" x14ac:dyDescent="0.2">
      <c r="A1" s="2"/>
      <c r="B1" s="2"/>
      <c r="C1" s="2"/>
      <c r="D1" s="2"/>
      <c r="E1" s="2"/>
      <c r="F1" s="253"/>
      <c r="G1" s="253"/>
      <c r="H1" s="3"/>
      <c r="I1" s="3"/>
      <c r="J1" s="4"/>
      <c r="K1" s="5"/>
    </row>
    <row r="2" spans="1:15" ht="16.350000000000001" customHeight="1" x14ac:dyDescent="0.2">
      <c r="A2" s="7" t="s">
        <v>57</v>
      </c>
      <c r="B2" s="8"/>
      <c r="C2" s="8"/>
      <c r="D2" s="8"/>
      <c r="E2" s="9"/>
      <c r="F2" s="10"/>
      <c r="G2" s="11"/>
      <c r="H2" s="11"/>
      <c r="I2" s="11"/>
      <c r="J2" s="11"/>
      <c r="K2" s="12"/>
    </row>
    <row r="3" spans="1:15" ht="16.350000000000001" customHeight="1" x14ac:dyDescent="0.2">
      <c r="A3" s="13"/>
      <c r="B3" s="13"/>
      <c r="C3" s="13"/>
      <c r="D3" s="13"/>
      <c r="E3" s="13"/>
      <c r="F3" s="2"/>
      <c r="G3" s="3"/>
      <c r="H3" s="3"/>
      <c r="I3" s="3"/>
      <c r="J3" s="3"/>
      <c r="K3" s="14"/>
      <c r="L3" s="124"/>
    </row>
    <row r="4" spans="1:15" ht="16.350000000000001" customHeight="1" x14ac:dyDescent="0.2">
      <c r="A4" s="121" t="s">
        <v>116</v>
      </c>
      <c r="B4" s="15"/>
      <c r="C4" s="15"/>
      <c r="D4" s="15"/>
      <c r="E4" s="16"/>
      <c r="F4" s="2"/>
      <c r="G4" s="3"/>
      <c r="H4" s="3"/>
      <c r="I4" s="3"/>
      <c r="J4" s="3"/>
      <c r="K4" s="14"/>
    </row>
    <row r="5" spans="1:15" ht="23.25" customHeight="1" x14ac:dyDescent="0.2">
      <c r="A5" s="18" t="s">
        <v>118</v>
      </c>
      <c r="B5" s="244" t="s">
        <v>124</v>
      </c>
      <c r="C5" s="244"/>
      <c r="D5" s="244"/>
      <c r="E5" s="245"/>
      <c r="F5" s="2"/>
      <c r="G5" s="3"/>
      <c r="H5" s="3"/>
      <c r="I5" s="3"/>
      <c r="J5" s="3"/>
      <c r="K5" s="14"/>
    </row>
    <row r="6" spans="1:15" ht="20.25" customHeight="1" x14ac:dyDescent="0.2">
      <c r="A6" s="18" t="s">
        <v>58</v>
      </c>
      <c r="B6" s="244" t="s">
        <v>123</v>
      </c>
      <c r="C6" s="244"/>
      <c r="D6" s="244"/>
      <c r="E6" s="245"/>
      <c r="F6" s="2"/>
      <c r="G6" s="3"/>
      <c r="H6" s="3"/>
      <c r="I6" s="3"/>
      <c r="J6" s="3"/>
      <c r="K6" s="14"/>
    </row>
    <row r="7" spans="1:15" ht="24.75" customHeight="1" x14ac:dyDescent="0.2">
      <c r="A7" s="18" t="s">
        <v>117</v>
      </c>
      <c r="B7" s="244" t="s">
        <v>125</v>
      </c>
      <c r="C7" s="244"/>
      <c r="D7" s="244"/>
      <c r="E7" s="245"/>
      <c r="F7" s="2"/>
      <c r="G7" s="3"/>
      <c r="H7" s="3"/>
      <c r="I7" s="3"/>
      <c r="J7" s="3"/>
      <c r="K7" s="14"/>
    </row>
    <row r="8" spans="1:15" ht="16.350000000000001" customHeight="1" x14ac:dyDescent="0.2">
      <c r="A8" s="19"/>
      <c r="B8" s="20"/>
      <c r="C8" s="20"/>
      <c r="D8" s="20"/>
      <c r="E8" s="17"/>
      <c r="F8" s="2"/>
      <c r="G8" s="3"/>
      <c r="H8" s="3"/>
      <c r="I8" s="3"/>
      <c r="J8" s="3"/>
      <c r="K8" s="14"/>
    </row>
    <row r="9" spans="1:15" ht="15" customHeight="1" x14ac:dyDescent="0.2">
      <c r="A9" s="21"/>
      <c r="B9" s="21"/>
      <c r="C9" s="21"/>
      <c r="D9" s="22"/>
      <c r="E9" s="22"/>
      <c r="F9" s="22"/>
      <c r="G9" s="22"/>
      <c r="H9" s="22"/>
      <c r="I9" s="4"/>
      <c r="J9" s="4"/>
      <c r="K9" s="5"/>
    </row>
    <row r="10" spans="1:15" s="27" customFormat="1" ht="15" customHeight="1" x14ac:dyDescent="0.25">
      <c r="A10" s="23" t="s">
        <v>3</v>
      </c>
      <c r="B10" s="23"/>
      <c r="C10" s="24"/>
      <c r="D10" s="24"/>
      <c r="E10" s="24"/>
      <c r="F10" s="23" t="s">
        <v>59</v>
      </c>
      <c r="G10" s="25"/>
      <c r="H10" s="25"/>
      <c r="I10" s="25"/>
      <c r="J10" s="25"/>
      <c r="K10" s="26"/>
      <c r="L10" s="125"/>
      <c r="M10" s="125"/>
      <c r="N10" s="125"/>
      <c r="O10" s="125"/>
    </row>
    <row r="11" spans="1:15" s="27" customFormat="1" ht="30.75" customHeight="1" x14ac:dyDescent="0.25">
      <c r="A11" s="28" t="s">
        <v>39</v>
      </c>
      <c r="B11" s="23"/>
      <c r="C11" s="25"/>
      <c r="D11" s="24"/>
      <c r="E11" s="24"/>
      <c r="F11" s="29"/>
      <c r="G11" s="254" t="s">
        <v>60</v>
      </c>
      <c r="H11" s="255"/>
      <c r="I11" s="254" t="s">
        <v>20</v>
      </c>
      <c r="J11" s="255"/>
      <c r="K11" s="26"/>
      <c r="L11" s="123" t="s">
        <v>18</v>
      </c>
      <c r="M11" s="125"/>
      <c r="N11" s="125"/>
      <c r="O11" s="125"/>
    </row>
    <row r="12" spans="1:15" s="27" customFormat="1" ht="15" customHeight="1" thickBot="1" x14ac:dyDescent="0.3">
      <c r="A12" s="23"/>
      <c r="B12" s="23"/>
      <c r="C12" s="23" t="s">
        <v>0</v>
      </c>
      <c r="D12" s="24"/>
      <c r="E12" s="24"/>
      <c r="F12" s="30"/>
      <c r="G12" s="31" t="s">
        <v>1</v>
      </c>
      <c r="H12" s="32" t="s">
        <v>21</v>
      </c>
      <c r="I12" s="33" t="s">
        <v>21</v>
      </c>
      <c r="J12" s="34" t="s">
        <v>1</v>
      </c>
      <c r="K12" s="26"/>
      <c r="L12" s="123" t="s">
        <v>33</v>
      </c>
      <c r="M12" s="125"/>
      <c r="N12" s="125"/>
      <c r="O12" s="125"/>
    </row>
    <row r="13" spans="1:15" s="27" customFormat="1" ht="15" customHeight="1" thickTop="1" x14ac:dyDescent="0.25">
      <c r="A13" s="23"/>
      <c r="B13" s="23"/>
      <c r="C13" s="35"/>
      <c r="D13" s="24"/>
      <c r="E13" s="24"/>
      <c r="F13" s="36" t="s">
        <v>4</v>
      </c>
      <c r="G13" s="37">
        <f>$H13*$C$42</f>
        <v>14.766</v>
      </c>
      <c r="H13" s="38">
        <f>IF(D14="euro all'ora",C14,C14/((C22*52)/12))</f>
        <v>15</v>
      </c>
      <c r="I13" s="38">
        <f>$J13/$C$42</f>
        <v>24.634295002031692</v>
      </c>
      <c r="J13" s="37">
        <f>C35</f>
        <v>24.25</v>
      </c>
      <c r="K13" s="26"/>
      <c r="L13" s="125" t="s">
        <v>34</v>
      </c>
      <c r="M13" s="125"/>
      <c r="N13" s="125"/>
      <c r="O13" s="125"/>
    </row>
    <row r="14" spans="1:15" s="27" customFormat="1" ht="15" customHeight="1" x14ac:dyDescent="0.2">
      <c r="A14" s="39" t="s">
        <v>61</v>
      </c>
      <c r="B14" s="25"/>
      <c r="C14" s="40">
        <v>15</v>
      </c>
      <c r="D14" s="41" t="s">
        <v>12</v>
      </c>
      <c r="E14" s="42"/>
      <c r="F14" s="36" t="s">
        <v>62</v>
      </c>
      <c r="G14" s="43">
        <f t="shared" ref="G14:G22" si="0">$H14*$C$42</f>
        <v>0.15101074615384616</v>
      </c>
      <c r="H14" s="44">
        <f>C21/((52*C22)/12)</f>
        <v>0.15340384615384614</v>
      </c>
      <c r="I14" s="45"/>
      <c r="J14" s="46"/>
      <c r="K14" s="26"/>
      <c r="L14" s="125" t="s">
        <v>35</v>
      </c>
      <c r="M14" s="125"/>
      <c r="N14" s="125"/>
      <c r="O14" s="125"/>
    </row>
    <row r="15" spans="1:15" s="27" customFormat="1" ht="15" customHeight="1" x14ac:dyDescent="0.2">
      <c r="A15" s="25" t="s">
        <v>5</v>
      </c>
      <c r="B15" s="25"/>
      <c r="C15" s="40">
        <v>8</v>
      </c>
      <c r="D15" s="24" t="s">
        <v>13</v>
      </c>
      <c r="E15" s="24"/>
      <c r="F15" s="36" t="s">
        <v>22</v>
      </c>
      <c r="G15" s="43">
        <f t="shared" si="0"/>
        <v>1.945697053846154</v>
      </c>
      <c r="H15" s="44">
        <f>(H13+H14)*(C23/(260-C23))</f>
        <v>1.9765309364548496</v>
      </c>
      <c r="I15" s="44">
        <f>$J15/$C$42</f>
        <v>2.0528579168359742</v>
      </c>
      <c r="J15" s="43">
        <f>J13*(C36/(260-C36))</f>
        <v>2.020833333333333</v>
      </c>
      <c r="K15" s="26"/>
      <c r="L15" s="125" t="s">
        <v>38</v>
      </c>
      <c r="M15" s="125"/>
      <c r="N15" s="125"/>
      <c r="O15" s="125"/>
    </row>
    <row r="16" spans="1:15" s="27" customFormat="1" ht="15" customHeight="1" x14ac:dyDescent="0.2">
      <c r="A16" s="47" t="s">
        <v>6</v>
      </c>
      <c r="B16" s="25"/>
      <c r="C16" s="40">
        <v>8</v>
      </c>
      <c r="D16" s="24" t="s">
        <v>14</v>
      </c>
      <c r="E16" s="24"/>
      <c r="F16" s="36" t="s">
        <v>23</v>
      </c>
      <c r="G16" s="43">
        <f t="shared" si="0"/>
        <v>0.59668042984615388</v>
      </c>
      <c r="H16" s="44">
        <f>(H13+H14)*(C24/(260-C24))</f>
        <v>0.60613615384615382</v>
      </c>
      <c r="I16" s="44">
        <f>$J16/$C$42</f>
        <v>0.88330141441547916</v>
      </c>
      <c r="J16" s="43">
        <f>J13*(C37/(260-C37))</f>
        <v>0.86952191235059773</v>
      </c>
      <c r="K16" s="26"/>
      <c r="L16" s="125" t="s">
        <v>36</v>
      </c>
      <c r="M16" s="125"/>
      <c r="N16" s="125"/>
      <c r="O16" s="125"/>
    </row>
    <row r="17" spans="1:15" s="27" customFormat="1" ht="15" customHeight="1" x14ac:dyDescent="0.2">
      <c r="A17" s="25" t="s">
        <v>7</v>
      </c>
      <c r="B17" s="25"/>
      <c r="C17" s="40">
        <v>64</v>
      </c>
      <c r="D17" s="24" t="s">
        <v>15</v>
      </c>
      <c r="E17" s="24"/>
      <c r="F17" s="36" t="s">
        <v>42</v>
      </c>
      <c r="G17" s="43">
        <f t="shared" si="0"/>
        <v>1.1639592153230771</v>
      </c>
      <c r="H17" s="48">
        <f>IF(D27="euro all'anno",(H13+H14+H15+H16)*L28/100*1/12,IF(D27="% di un mese di salario",(H13+H14+H15+H16)*C27/100*1/12,(H13+H14+H15+H16)*C27/100))</f>
        <v>1.1824047290969901</v>
      </c>
      <c r="I17" s="44">
        <f>$J17/$C$42</f>
        <v>2.297537861106929</v>
      </c>
      <c r="J17" s="43">
        <f>(J13+J15+J16)*(C38/100)*(1/12)</f>
        <v>2.261696270473661</v>
      </c>
      <c r="K17" s="26"/>
      <c r="L17" s="125" t="s">
        <v>12</v>
      </c>
      <c r="M17" s="125"/>
      <c r="N17" s="125"/>
      <c r="O17" s="125"/>
    </row>
    <row r="18" spans="1:15" s="27" customFormat="1" ht="15" customHeight="1" x14ac:dyDescent="0.2">
      <c r="A18" s="49" t="s">
        <v>35</v>
      </c>
      <c r="B18" s="50"/>
      <c r="C18" s="40">
        <v>6</v>
      </c>
      <c r="D18" s="24" t="s">
        <v>15</v>
      </c>
      <c r="E18" s="24"/>
      <c r="F18" s="36" t="s">
        <v>43</v>
      </c>
      <c r="G18" s="43">
        <f t="shared" si="0"/>
        <v>0</v>
      </c>
      <c r="H18" s="48">
        <f>IF(D28="euro all'anno",(H13+H14+H15+H16)*L29/100*1/12,IF(D28="% di un mese di salario",(H13+H14+H15+H16)*C28/100*1/12,(H13+H14+H15+H16)*C28/100))</f>
        <v>0</v>
      </c>
      <c r="I18" s="51">
        <f>$J18/$C$42</f>
        <v>0</v>
      </c>
      <c r="J18" s="52">
        <f>(J13+J15+J16)*(C39/100)*(1/12)</f>
        <v>0</v>
      </c>
      <c r="K18" s="26"/>
      <c r="L18" s="125" t="s">
        <v>16</v>
      </c>
      <c r="M18" s="125"/>
      <c r="N18" s="125"/>
      <c r="O18" s="125"/>
    </row>
    <row r="19" spans="1:15" s="27" customFormat="1" ht="15" customHeight="1" x14ac:dyDescent="0.2">
      <c r="A19" s="25" t="str">
        <f>IF(AND(A18="          di cui lavoro notturno",C18&gt;0),"          supplemento lavoro notturno",IF(AND(A18="          di cui lavoro di sabato",C18&gt;0),"          supplemento lavoro di sabato",IF(AND(A18="          di cui lavoro domenicale",C18&gt;0),"          supplemento lavoro domenicale","")))</f>
        <v xml:space="preserve">          supplemento lavoro notturno</v>
      </c>
      <c r="B19" s="25"/>
      <c r="C19" s="40">
        <v>5.6</v>
      </c>
      <c r="D19" s="24" t="str">
        <f>IF(C18&gt;0,"euro all'ora","")</f>
        <v>euro all'ora</v>
      </c>
      <c r="E19" s="24"/>
      <c r="F19" s="36" t="s">
        <v>63</v>
      </c>
      <c r="G19" s="43">
        <f t="shared" si="0"/>
        <v>0</v>
      </c>
      <c r="H19" s="53">
        <f>IF(D29="euro all'anno",(H13+H14+H15+H16)*(L30/100)*1/12,IF(D29="% di un mese di salario",(H13+H14+H15+H16)*(C29/100)*1/12,(H13+H14+H15+H16)*C29/100))</f>
        <v>0</v>
      </c>
      <c r="I19" s="54"/>
      <c r="J19" s="55"/>
      <c r="K19" s="26"/>
      <c r="L19" s="125"/>
      <c r="M19" s="125"/>
      <c r="N19" s="125"/>
      <c r="O19" s="125"/>
    </row>
    <row r="20" spans="1:15" s="27" customFormat="1" ht="15" customHeight="1" x14ac:dyDescent="0.2">
      <c r="A20" s="56" t="s">
        <v>64</v>
      </c>
      <c r="C20" s="40">
        <v>3</v>
      </c>
      <c r="D20" s="27" t="s">
        <v>15</v>
      </c>
      <c r="E20" s="24"/>
      <c r="F20" s="36" t="s">
        <v>65</v>
      </c>
      <c r="G20" s="37">
        <f t="shared" si="0"/>
        <v>1.4549490191538463</v>
      </c>
      <c r="H20" s="53">
        <f>IF(D30="euro all'anno",(H13+H14+H15+H16)*(L31/100)*1/12,IF(D30="% di un mese di salario",(H13+H14+H15+H16)*(C30/100)*1/12,(H13+H14+H15+H16)*C30/100))</f>
        <v>1.4780059113712376</v>
      </c>
      <c r="I20" s="57"/>
      <c r="J20" s="58"/>
      <c r="K20" s="26"/>
      <c r="L20" s="125"/>
      <c r="M20" s="125"/>
      <c r="N20" s="125"/>
      <c r="O20" s="125"/>
    </row>
    <row r="21" spans="1:15" s="27" customFormat="1" ht="15" customHeight="1" x14ac:dyDescent="0.2">
      <c r="A21" s="56" t="s">
        <v>62</v>
      </c>
      <c r="B21" s="25"/>
      <c r="C21" s="40">
        <v>26.59</v>
      </c>
      <c r="D21" s="24" t="s">
        <v>16</v>
      </c>
      <c r="E21" s="24"/>
      <c r="F21" s="36" t="s">
        <v>10</v>
      </c>
      <c r="G21" s="37">
        <f t="shared" si="0"/>
        <v>8.5150600000000001</v>
      </c>
      <c r="H21" s="54">
        <f>C26</f>
        <v>8.65</v>
      </c>
      <c r="I21" s="57"/>
      <c r="J21" s="58"/>
      <c r="K21" s="26"/>
      <c r="L21" s="125"/>
      <c r="M21" s="125"/>
      <c r="N21" s="125"/>
      <c r="O21" s="125"/>
    </row>
    <row r="22" spans="1:15" s="27" customFormat="1" ht="15" customHeight="1" x14ac:dyDescent="0.2">
      <c r="A22" s="25" t="s">
        <v>66</v>
      </c>
      <c r="B22" s="25"/>
      <c r="C22" s="40">
        <v>40</v>
      </c>
      <c r="D22" s="24" t="s">
        <v>41</v>
      </c>
      <c r="E22" s="24"/>
      <c r="F22" s="59" t="s">
        <v>40</v>
      </c>
      <c r="G22" s="52">
        <f t="shared" si="0"/>
        <v>0.85999999999999965</v>
      </c>
      <c r="H22" s="51">
        <f>IF(D25="euro per la durata dell'impiego",(($C25)-((C16*C43)+(C15*C44))/C42)/C17,((C25*C15)-((C43*C16+C44*C15)/C42))/C17)</f>
        <v>0.8736286062576184</v>
      </c>
      <c r="I22" s="57"/>
      <c r="J22" s="58"/>
      <c r="K22" s="26"/>
      <c r="L22" s="125"/>
      <c r="M22" s="125"/>
      <c r="N22" s="125"/>
      <c r="O22" s="125"/>
    </row>
    <row r="23" spans="1:15" s="27" customFormat="1" ht="15" customHeight="1" thickBot="1" x14ac:dyDescent="0.3">
      <c r="A23" s="39" t="s">
        <v>8</v>
      </c>
      <c r="B23" s="25"/>
      <c r="C23" s="40">
        <v>30</v>
      </c>
      <c r="D23" s="24" t="s">
        <v>13</v>
      </c>
      <c r="E23" s="24"/>
      <c r="F23" s="60" t="s">
        <v>24</v>
      </c>
      <c r="G23" s="61">
        <f>SUM(G$13:G$22)</f>
        <v>29.453356464323079</v>
      </c>
      <c r="H23" s="62">
        <f>SUM(H$13:H$22)</f>
        <v>29.920110183180697</v>
      </c>
      <c r="I23" s="63">
        <f>SUM(I$13:I$18)-I14</f>
        <v>29.867992194390073</v>
      </c>
      <c r="J23" s="64">
        <f>SUM(J$13:J$18)-J14</f>
        <v>29.402051516157591</v>
      </c>
      <c r="K23" s="26"/>
      <c r="L23" s="125"/>
      <c r="M23" s="125"/>
      <c r="N23" s="125"/>
      <c r="O23" s="125"/>
    </row>
    <row r="24" spans="1:15" s="27" customFormat="1" ht="15" customHeight="1" thickTop="1" x14ac:dyDescent="0.2">
      <c r="A24" s="233" t="s">
        <v>9</v>
      </c>
      <c r="B24" s="25"/>
      <c r="C24" s="40">
        <v>10</v>
      </c>
      <c r="D24" s="24" t="s">
        <v>13</v>
      </c>
      <c r="E24" s="24"/>
      <c r="F24" s="65"/>
      <c r="G24" s="65"/>
      <c r="H24" s="65"/>
      <c r="I24" s="65"/>
      <c r="J24" s="65"/>
      <c r="K24" s="26"/>
      <c r="L24" s="125"/>
      <c r="M24" s="125"/>
      <c r="N24" s="125"/>
      <c r="O24" s="125"/>
    </row>
    <row r="25" spans="1:15" s="27" customFormat="1" ht="15" customHeight="1" x14ac:dyDescent="0.2">
      <c r="A25" s="56" t="s">
        <v>40</v>
      </c>
      <c r="B25" s="25"/>
      <c r="C25" s="40">
        <v>1600</v>
      </c>
      <c r="D25" s="41" t="s">
        <v>17</v>
      </c>
      <c r="E25" s="24"/>
      <c r="F25" s="25"/>
      <c r="G25" s="66" t="s">
        <v>1</v>
      </c>
      <c r="H25" s="66" t="s">
        <v>21</v>
      </c>
      <c r="I25" s="65"/>
      <c r="J25" s="65"/>
      <c r="K25" s="26"/>
      <c r="L25" s="125"/>
      <c r="M25" s="125"/>
      <c r="N25" s="125"/>
      <c r="O25" s="125"/>
    </row>
    <row r="26" spans="1:15" s="27" customFormat="1" ht="15" customHeight="1" x14ac:dyDescent="0.25">
      <c r="A26" s="56" t="s">
        <v>10</v>
      </c>
      <c r="B26" s="25"/>
      <c r="C26" s="40">
        <v>8.65</v>
      </c>
      <c r="D26" s="24" t="s">
        <v>12</v>
      </c>
      <c r="E26" s="24"/>
      <c r="F26" s="67" t="s">
        <v>25</v>
      </c>
      <c r="G26" s="68">
        <f>G23-J23</f>
        <v>5.1304948165487474E-2</v>
      </c>
      <c r="H26" s="69">
        <f>H23-I23</f>
        <v>5.2117988790623571E-2</v>
      </c>
      <c r="I26" s="65"/>
      <c r="J26" s="25"/>
      <c r="K26" s="26"/>
      <c r="L26" s="125" t="s">
        <v>17</v>
      </c>
      <c r="M26" s="125"/>
      <c r="N26" s="125"/>
      <c r="O26" s="125"/>
    </row>
    <row r="27" spans="1:15" s="27" customFormat="1" ht="15" customHeight="1" x14ac:dyDescent="0.2">
      <c r="A27" s="56" t="s">
        <v>42</v>
      </c>
      <c r="B27" s="25"/>
      <c r="C27" s="40">
        <v>80</v>
      </c>
      <c r="D27" s="41" t="s">
        <v>18</v>
      </c>
      <c r="E27" s="24"/>
      <c r="F27" s="70"/>
      <c r="G27" s="70"/>
      <c r="H27" s="70"/>
      <c r="I27" s="65"/>
      <c r="J27" s="25"/>
      <c r="K27" s="26"/>
      <c r="L27" s="125" t="s">
        <v>37</v>
      </c>
      <c r="M27" s="125"/>
      <c r="N27" s="125"/>
      <c r="O27" s="125"/>
    </row>
    <row r="28" spans="1:15" s="27" customFormat="1" ht="15" customHeight="1" x14ac:dyDescent="0.25">
      <c r="A28" s="56" t="s">
        <v>43</v>
      </c>
      <c r="B28" s="25"/>
      <c r="C28" s="40">
        <v>0</v>
      </c>
      <c r="D28" s="41" t="s">
        <v>18</v>
      </c>
      <c r="E28" s="24"/>
      <c r="F28" s="23" t="str">
        <f>IF(AND(C18&gt;0,A18="          di cui lavoro notturno"),"Confronto salario orario - Lavoro notturno:",IF(AND(C18&gt;0,A18="          di cui lavoro di sabato"),"Confronto salario orario - Lavoro di sabato:",IF(AND(C18&gt;0,A18="          di cui lavoro domenicale"),"Confronto salario orario - Lavoro domenicale:","")))</f>
        <v>Confronto salario orario - Lavoro notturno:</v>
      </c>
      <c r="G28" s="25"/>
      <c r="H28" s="25"/>
      <c r="I28" s="25"/>
      <c r="J28" s="25"/>
      <c r="K28" s="26"/>
      <c r="L28" s="126">
        <f>C27/C31*100</f>
        <v>3.0769230769230771</v>
      </c>
      <c r="M28" s="125"/>
      <c r="N28" s="125"/>
      <c r="O28" s="125"/>
    </row>
    <row r="29" spans="1:15" s="27" customFormat="1" ht="35.25" customHeight="1" x14ac:dyDescent="0.2">
      <c r="A29" s="56" t="s">
        <v>63</v>
      </c>
      <c r="B29" s="25"/>
      <c r="C29" s="40">
        <v>0</v>
      </c>
      <c r="D29" s="41" t="s">
        <v>18</v>
      </c>
      <c r="E29" s="24"/>
      <c r="F29" s="25"/>
      <c r="G29" s="256" t="str">
        <f>IF(C18&gt;0,"Restribuzione effettiva nel Paese di provenienza","")</f>
        <v>Restribuzione effettiva nel Paese di provenienza</v>
      </c>
      <c r="H29" s="256"/>
      <c r="I29" s="256" t="str">
        <f>IF(C18&gt;0,"Retribuzione preventivata in Svizzera","")</f>
        <v>Retribuzione preventivata in Svizzera</v>
      </c>
      <c r="J29" s="256"/>
      <c r="K29" s="26"/>
      <c r="L29" s="126">
        <f>C28/C31*100</f>
        <v>0</v>
      </c>
      <c r="M29" s="125"/>
      <c r="N29" s="125"/>
      <c r="O29" s="125"/>
    </row>
    <row r="30" spans="1:15" s="27" customFormat="1" ht="15" customHeight="1" x14ac:dyDescent="0.2">
      <c r="A30" s="56" t="s">
        <v>65</v>
      </c>
      <c r="B30" s="25"/>
      <c r="C30" s="40">
        <v>2600</v>
      </c>
      <c r="D30" s="71" t="s">
        <v>33</v>
      </c>
      <c r="E30" s="24"/>
      <c r="F30" s="25" t="str">
        <f>IF(C18&gt;0,"Salario di base","")</f>
        <v>Salario di base</v>
      </c>
      <c r="G30" s="72">
        <f>IF(C18&gt;0,$H30*$C$42,"")</f>
        <v>14.766</v>
      </c>
      <c r="H30" s="73">
        <f>IF(AND(C18&gt;0,D14="euro all'ora"),C14,IF(AND(C18&gt;0,D14="euro al mese"),C14/((C22*52)/12),""))</f>
        <v>15</v>
      </c>
      <c r="I30" s="74">
        <f>IF(C18&gt;0,$J30/$C$42,"")</f>
        <v>24.634295002031692</v>
      </c>
      <c r="J30" s="72">
        <f>IF(C18&gt;0,C35,"")</f>
        <v>24.25</v>
      </c>
      <c r="K30" s="26"/>
      <c r="L30" s="126">
        <f>C29/C31*100</f>
        <v>0</v>
      </c>
      <c r="M30" s="125"/>
      <c r="N30" s="125"/>
      <c r="O30" s="125"/>
    </row>
    <row r="31" spans="1:15" s="27" customFormat="1" ht="15" customHeight="1" x14ac:dyDescent="0.2">
      <c r="A31" s="25" t="str">
        <f>IF(OR(D27="euro all'anno",D28="euro all'anno",D29="euro all'anno",D30="euro all'anno"),"Salario mensile","")</f>
        <v>Salario mensile</v>
      </c>
      <c r="B31" s="25"/>
      <c r="C31" s="40">
        <v>2600</v>
      </c>
      <c r="D31" s="24" t="str">
        <f>IF(A31="Salario mensile","euro al mese","")</f>
        <v>euro al mese</v>
      </c>
      <c r="E31" s="25"/>
      <c r="F31" s="25" t="str">
        <f>IF(A19="          supplemento lavoro notturno","Supplemento lavoro notturno",IF(A19="          supplemento lavoro di sabato","Supplemento lavoro di sabato", IF(A19="          supplemento lavoro domenicale","Supplemento lavoro domenicale","")))</f>
        <v>Supplemento lavoro notturno</v>
      </c>
      <c r="G31" s="73">
        <f>IF(C18&gt;0,H31*C42,"")</f>
        <v>5.5126400000000002</v>
      </c>
      <c r="H31" s="73">
        <f>IF(C18&gt;0,C19,"")</f>
        <v>5.6</v>
      </c>
      <c r="I31" s="73">
        <f>IF(C18&gt;0,$J$31/$C$42,"")</f>
        <v>6.158573750507923</v>
      </c>
      <c r="J31" s="72">
        <f>IF(AND(C18&gt;0,C40=""),J30*B40,IF(C18&gt;0,J30*C40/100,""))</f>
        <v>6.0625</v>
      </c>
      <c r="K31" s="26"/>
      <c r="L31" s="126">
        <f>C30/C31*100</f>
        <v>100</v>
      </c>
      <c r="M31" s="125"/>
      <c r="N31" s="125"/>
      <c r="O31" s="125"/>
    </row>
    <row r="32" spans="1:15" s="27" customFormat="1" ht="15" customHeight="1" x14ac:dyDescent="0.25">
      <c r="A32" s="25"/>
      <c r="B32" s="23"/>
      <c r="C32" s="25"/>
      <c r="D32" s="25"/>
      <c r="E32" s="24"/>
      <c r="F32" s="25" t="str">
        <f>IF(C18&gt;0,"Compensato sotto forma die capitale","")</f>
        <v>Compensato sotto forma die capitale</v>
      </c>
      <c r="G32" s="73">
        <f>IF(C18&gt;0,H32*C$42,"")</f>
        <v>0.15101074615384616</v>
      </c>
      <c r="H32" s="73">
        <f>IF(C18&gt;0,C21/((52*C22)/12),"")</f>
        <v>0.15340384615384614</v>
      </c>
      <c r="I32" s="257"/>
      <c r="J32" s="257"/>
      <c r="K32" s="26"/>
      <c r="L32" s="125"/>
      <c r="M32" s="125"/>
      <c r="N32" s="125"/>
      <c r="O32" s="125"/>
    </row>
    <row r="33" spans="1:15" s="27" customFormat="1" ht="15" customHeight="1" x14ac:dyDescent="0.25">
      <c r="A33" s="23" t="s">
        <v>11</v>
      </c>
      <c r="B33" s="25"/>
      <c r="C33" s="75"/>
      <c r="D33" s="24"/>
      <c r="E33" s="24"/>
      <c r="F33" s="25" t="str">
        <f>IF(C18&gt;0,"Indennità di vacanza","")</f>
        <v>Indennità di vacanza</v>
      </c>
      <c r="G33" s="73">
        <f>IF(C18&gt;0,$H33*$C$42,"")</f>
        <v>1.945697053846154</v>
      </c>
      <c r="H33" s="73">
        <f>IF(C18&gt;0,(H30+H32)*(C23/(260-C23)),"")</f>
        <v>1.9765309364548496</v>
      </c>
      <c r="I33" s="73">
        <f>IF(C18&gt;0,$J33/$C$42,"")</f>
        <v>2.0528579168359742</v>
      </c>
      <c r="J33" s="72">
        <f>IF(C18&gt;0,(J30)*(C36/(260-C36)),"")</f>
        <v>2.020833333333333</v>
      </c>
      <c r="K33" s="26"/>
      <c r="L33" s="125"/>
      <c r="M33" s="125"/>
      <c r="N33" s="125"/>
      <c r="O33" s="125"/>
    </row>
    <row r="34" spans="1:15" s="27" customFormat="1" ht="15" customHeight="1" x14ac:dyDescent="0.2">
      <c r="A34" s="25"/>
      <c r="B34" s="25"/>
      <c r="C34" s="75"/>
      <c r="D34" s="24"/>
      <c r="E34" s="24"/>
      <c r="F34" s="25" t="str">
        <f>IF(C18&gt;0,"Indennità festiva","")</f>
        <v>Indennità festiva</v>
      </c>
      <c r="G34" s="73">
        <f>IF(C18&gt;0,$H34*$C$42,"")</f>
        <v>0.59668042984615388</v>
      </c>
      <c r="H34" s="73">
        <f>IF(C18&gt;0,(H30+H32)*(C24/(260-C24)),"")</f>
        <v>0.60613615384615382</v>
      </c>
      <c r="I34" s="73">
        <f>IF(C18&gt;0,$J34/$C$42,"")</f>
        <v>0.88330141441547916</v>
      </c>
      <c r="J34" s="72">
        <f>IF(C18&gt;0,(J30)*(C37/(260-C37)),"")</f>
        <v>0.86952191235059773</v>
      </c>
      <c r="K34" s="76"/>
      <c r="L34" s="125"/>
      <c r="M34" s="125"/>
      <c r="N34" s="125"/>
      <c r="O34" s="125"/>
    </row>
    <row r="35" spans="1:15" s="27" customFormat="1" ht="15" customHeight="1" x14ac:dyDescent="0.2">
      <c r="A35" s="56" t="s">
        <v>4</v>
      </c>
      <c r="B35" s="25"/>
      <c r="C35" s="40">
        <v>24.25</v>
      </c>
      <c r="D35" s="24" t="s">
        <v>1</v>
      </c>
      <c r="E35" s="24"/>
      <c r="F35" s="25" t="str">
        <f>IF(C18&gt;0,"13a mensilità","")</f>
        <v>13a mensilità</v>
      </c>
      <c r="G35" s="73">
        <f>IF(C18&gt;0,$H35*$C$42,"")</f>
        <v>1.1639592153230771</v>
      </c>
      <c r="H35" s="72">
        <f>IF(C18&gt;0,IF(D27="euro all'anno",(H13+H14+H15+H16)*L28/100*1/12,IF(D27="% di un mese di salario",(H13+H14+H15+H16)*C27/100*1/12,(H13+H14+H15+H16)*C27/100)),"")</f>
        <v>1.1824047290969901</v>
      </c>
      <c r="I35" s="73">
        <f>IF(C18&gt;0,$J35/$C$42,"")</f>
        <v>2.297537861106929</v>
      </c>
      <c r="J35" s="72">
        <f>IF(C18&gt;0,(SUM(J30:J34)-J31)*(C38/100)*(1/12),"")</f>
        <v>2.261696270473661</v>
      </c>
      <c r="K35" s="76"/>
      <c r="L35" s="125"/>
      <c r="M35" s="125"/>
      <c r="N35" s="125"/>
      <c r="O35" s="125"/>
    </row>
    <row r="36" spans="1:15" s="27" customFormat="1" ht="15" customHeight="1" x14ac:dyDescent="0.2">
      <c r="A36" s="56" t="s">
        <v>8</v>
      </c>
      <c r="B36" s="25"/>
      <c r="C36" s="40">
        <v>20</v>
      </c>
      <c r="D36" s="24" t="s">
        <v>13</v>
      </c>
      <c r="E36" s="24"/>
      <c r="F36" s="25" t="str">
        <f>IF(C18&gt;0,"14a mensilità","")</f>
        <v>14a mensilità</v>
      </c>
      <c r="G36" s="73">
        <f>IF(C18&gt;0,$H36*$C$42,"")</f>
        <v>0</v>
      </c>
      <c r="H36" s="72">
        <f>IF(C18&gt;0,IF(D28="euro all'anno",(H13+H14+H15+H16)*L29/100*1/12,IF(D28="% di un mese di salario",(H13+H14+H15+H16)*C28/100*1/12,(H13+H14+H15+H16)*C28/100)),"")</f>
        <v>0</v>
      </c>
      <c r="I36" s="73">
        <f>IF(C18&gt;0,$J36/$C$42,"")</f>
        <v>0</v>
      </c>
      <c r="J36" s="72">
        <f>IF(C18&gt;0,(SUM(J30:J34)-J31)*(C39/100)*(1/12),"")</f>
        <v>0</v>
      </c>
      <c r="K36" s="76"/>
      <c r="L36" s="125"/>
      <c r="M36" s="125"/>
      <c r="N36" s="125"/>
      <c r="O36" s="125"/>
    </row>
    <row r="37" spans="1:15" s="27" customFormat="1" ht="15" customHeight="1" x14ac:dyDescent="0.2">
      <c r="A37" s="56" t="s">
        <v>9</v>
      </c>
      <c r="B37" s="25"/>
      <c r="C37" s="40">
        <v>9</v>
      </c>
      <c r="D37" s="24" t="s">
        <v>13</v>
      </c>
      <c r="E37" s="24"/>
      <c r="F37" s="25" t="str">
        <f>IF(C18&gt;0,"Assegno per ferie","")</f>
        <v>Assegno per ferie</v>
      </c>
      <c r="G37" s="73">
        <f>IF(C18&gt;0,$H37*$C$42,"")</f>
        <v>0</v>
      </c>
      <c r="H37" s="72">
        <f>IF(C18&gt;0,IF(D29="euro all'anno",(H13+H14+H15+H16)*L30/100*1/12,IF(D29="% di un mese di salario",(H13+H14+H15+H16)*C29/100*1/12,(H13+H14+H15+H16)*C29/100)),"")</f>
        <v>0</v>
      </c>
      <c r="I37" s="66"/>
      <c r="J37" s="66"/>
      <c r="K37" s="76"/>
      <c r="L37" s="125"/>
      <c r="M37" s="125"/>
      <c r="N37" s="125"/>
      <c r="O37" s="125"/>
    </row>
    <row r="38" spans="1:15" s="27" customFormat="1" ht="15" customHeight="1" x14ac:dyDescent="0.2">
      <c r="A38" s="56" t="s">
        <v>42</v>
      </c>
      <c r="B38" s="25"/>
      <c r="C38" s="40">
        <v>100</v>
      </c>
      <c r="D38" s="24" t="s">
        <v>2</v>
      </c>
      <c r="E38" s="24"/>
      <c r="F38" s="25" t="str">
        <f>IF(C18&gt;0,"Gratifica natalizia","")</f>
        <v>Gratifica natalizia</v>
      </c>
      <c r="G38" s="73">
        <f>IF(C18&gt;0,$H38*$C$42,"")</f>
        <v>1.4549490191538463</v>
      </c>
      <c r="H38" s="72">
        <f>IF(C18&gt;0,IF(D30="euro all'anno",(H13+H14+H15+H16)*L31/100*1/12,IF(D30="% di un mese di salario",(H13+H14+H15+H16)*C30/100*1/12,(H13+H14+H15+H16)*C30/100)),"")</f>
        <v>1.4780059113712376</v>
      </c>
      <c r="I38" s="66"/>
      <c r="J38" s="66"/>
      <c r="K38" s="76"/>
      <c r="L38" s="125"/>
      <c r="M38" s="125"/>
      <c r="N38" s="125"/>
      <c r="O38" s="125"/>
    </row>
    <row r="39" spans="1:15" s="27" customFormat="1" ht="15" customHeight="1" x14ac:dyDescent="0.2">
      <c r="A39" s="56" t="s">
        <v>67</v>
      </c>
      <c r="C39" s="40">
        <v>0</v>
      </c>
      <c r="D39" s="24" t="s">
        <v>2</v>
      </c>
      <c r="E39" s="24"/>
      <c r="F39" s="25" t="str">
        <f>IF(C18&gt;0,"Indennità supplementare","")</f>
        <v>Indennità supplementare</v>
      </c>
      <c r="G39" s="73">
        <f>IF(C18&gt;0,$H39*$C$42,"")</f>
        <v>8.5150600000000001</v>
      </c>
      <c r="H39" s="73">
        <f>IF(C18&gt;0,C26,"")</f>
        <v>8.65</v>
      </c>
      <c r="I39" s="72"/>
      <c r="J39" s="72"/>
      <c r="K39" s="76"/>
      <c r="L39" s="125"/>
      <c r="M39" s="125"/>
      <c r="N39" s="125"/>
      <c r="O39" s="125"/>
    </row>
    <row r="40" spans="1:15" s="80" customFormat="1" ht="15" x14ac:dyDescent="0.2">
      <c r="A40" s="56" t="str">
        <f>IF(AND(A18="          di cui lavoro notturno",C18&gt;0),"          supplemento lavoro notturno",IF(AND(A18="          di cui lavoro di sabato",C18&gt;0),"          supplemento lavoro di sabato",IF(AND(A18="          di cui lavoro domenicale",C18&gt;0),"          supplemento lavoro domenicale","")))</f>
        <v xml:space="preserve">          supplemento lavoro notturno</v>
      </c>
      <c r="B40" s="77">
        <f>IF(A40="          supplemento lavoro notturno",0.25,IF(A40="          supplemento lavoro di sabato",0,IF(A40="          supplemento lavoro domenicale",0.5,"")))</f>
        <v>0.25</v>
      </c>
      <c r="C40" s="78"/>
      <c r="D40" s="79" t="str">
        <f>IF(C18&gt;0,"%","")</f>
        <v>%</v>
      </c>
      <c r="E40" s="24"/>
      <c r="F40" s="25" t="str">
        <f>IF(C18&gt;0,"Indennità lavoro distaccato","")</f>
        <v>Indennità lavoro distaccato</v>
      </c>
      <c r="G40" s="73">
        <f>IF(C18&gt;0,H40*C42,"")</f>
        <v>0.85999999999999965</v>
      </c>
      <c r="H40" s="73">
        <f>IF(AND(C18&gt;0,D25="euro per la durata dell'impiego"),(($C$25)-(((C16*C43)+(C15*C44))/C42))/C17,IF(AND(C18&gt;0,D25="euro al giorno"),((C25*C15)-((C43*C16+C44*C15)/C42))/C17,""))</f>
        <v>0.8736286062576184</v>
      </c>
      <c r="I40" s="72"/>
      <c r="J40" s="72"/>
      <c r="K40" s="76"/>
      <c r="L40" s="125"/>
      <c r="M40" s="125"/>
      <c r="N40" s="125"/>
      <c r="O40" s="127"/>
    </row>
    <row r="41" spans="1:15" ht="15" customHeight="1" x14ac:dyDescent="0.25">
      <c r="A41" s="21"/>
      <c r="B41" s="25"/>
      <c r="C41" s="21"/>
      <c r="D41" s="79"/>
      <c r="E41" s="22"/>
      <c r="F41" s="25" t="str">
        <f>IF(C18&gt;0,"Salario orario lordo","")</f>
        <v>Salario orario lordo</v>
      </c>
      <c r="G41" s="81">
        <f>IF(C18&gt;0,SUM(G30:G40),"")</f>
        <v>34.965996464323077</v>
      </c>
      <c r="H41" s="81">
        <f>IF(C18&gt;0,SUM(H30:H40),"")</f>
        <v>35.520110183180698</v>
      </c>
      <c r="I41" s="81">
        <f>IF(C18&gt;0,SUM(I30:I36),"")</f>
        <v>36.026565944897996</v>
      </c>
      <c r="J41" s="82">
        <f>IF(C18&gt;0,SUM(J30:J36),"")</f>
        <v>35.464551516157599</v>
      </c>
      <c r="K41" s="5"/>
    </row>
    <row r="42" spans="1:15" ht="15" customHeight="1" x14ac:dyDescent="0.2">
      <c r="A42" s="239" t="s">
        <v>68</v>
      </c>
      <c r="B42" s="235" t="s">
        <v>172</v>
      </c>
      <c r="C42" s="83">
        <v>0.98440000000000005</v>
      </c>
      <c r="D42" s="24" t="s">
        <v>19</v>
      </c>
      <c r="E42" s="22"/>
      <c r="F42" s="4"/>
      <c r="G42" s="4"/>
      <c r="H42" s="4"/>
      <c r="I42" s="4"/>
      <c r="J42" s="4"/>
      <c r="K42" s="5"/>
    </row>
    <row r="43" spans="1:15" ht="15" customHeight="1" x14ac:dyDescent="0.2">
      <c r="A43" s="56" t="s">
        <v>44</v>
      </c>
      <c r="B43" s="25"/>
      <c r="C43" s="40">
        <v>150</v>
      </c>
      <c r="D43" s="24" t="s">
        <v>1</v>
      </c>
      <c r="E43" s="22"/>
      <c r="F43" s="25"/>
      <c r="G43" s="66" t="str">
        <f>IF(C18&gt;0,"CHF","")</f>
        <v>CHF</v>
      </c>
      <c r="H43" s="66" t="str">
        <f>IF(C18&gt;0,"euro","")</f>
        <v>euro</v>
      </c>
      <c r="I43" s="4"/>
      <c r="J43" s="4"/>
      <c r="K43" s="5"/>
    </row>
    <row r="44" spans="1:15" ht="15" customHeight="1" x14ac:dyDescent="0.25">
      <c r="A44" s="56" t="s">
        <v>45</v>
      </c>
      <c r="B44" s="21"/>
      <c r="C44" s="84">
        <v>40</v>
      </c>
      <c r="D44" s="24" t="s">
        <v>1</v>
      </c>
      <c r="E44" s="22"/>
      <c r="F44" s="85" t="str">
        <f>IF(AND(C18&gt;0,A18="          di cui lavoro notturno"),"Differenza salario orario lordo - lavoro di notturno",IF(AND(C18&gt;0,A18="          di cui lavoro di sabato"),"Differenza salario orario lordo - lavoro di sabato",IF(AND(C18&gt;0,A18="          di cui lavoro domenicale"),"Differenzia salario orario lordo - lavoro domenicale","")))</f>
        <v>Differenza salario orario lordo - lavoro di notturno</v>
      </c>
      <c r="G44" s="86">
        <f>IF(C18&gt;0,G41-J41,"")</f>
        <v>-0.49855505183452209</v>
      </c>
      <c r="H44" s="87">
        <f>IF(C18&gt;0,H41-I41,"")</f>
        <v>-0.506455761717298</v>
      </c>
      <c r="I44" s="24"/>
      <c r="J44" s="24"/>
      <c r="K44" s="5"/>
    </row>
    <row r="45" spans="1:15" ht="14.25" customHeight="1" x14ac:dyDescent="0.2">
      <c r="A45" s="21"/>
      <c r="B45" s="21"/>
      <c r="C45" s="21"/>
      <c r="D45" s="22"/>
      <c r="E45" s="22"/>
      <c r="F45" s="4"/>
      <c r="G45" s="4"/>
      <c r="H45" s="4"/>
      <c r="I45" s="4"/>
      <c r="J45" s="4"/>
      <c r="K45" s="5"/>
    </row>
    <row r="46" spans="1:15" s="89" customFormat="1" ht="22.5" customHeight="1" x14ac:dyDescent="0.2">
      <c r="A46" s="21"/>
      <c r="B46" s="24"/>
      <c r="C46" s="21"/>
      <c r="D46" s="22"/>
      <c r="E46" s="24"/>
      <c r="F46" s="25"/>
      <c r="G46" s="66" t="s">
        <v>1</v>
      </c>
      <c r="H46" s="66" t="s">
        <v>21</v>
      </c>
      <c r="I46" s="4"/>
      <c r="J46" s="4"/>
      <c r="K46" s="88"/>
      <c r="L46" s="128"/>
      <c r="M46" s="128"/>
      <c r="N46" s="128"/>
      <c r="O46" s="128"/>
    </row>
    <row r="47" spans="1:15" s="89" customFormat="1" ht="15.75" customHeight="1" x14ac:dyDescent="0.25">
      <c r="A47" s="24"/>
      <c r="C47" s="21"/>
      <c r="D47" s="22"/>
      <c r="E47" s="24"/>
      <c r="F47" s="67" t="s">
        <v>32</v>
      </c>
      <c r="G47" s="68">
        <f>IF(C18&gt;0,G26*(C17-C18)+G44*C18,G26*C17)</f>
        <v>-1.5643317408859048E-2</v>
      </c>
      <c r="H47" s="90">
        <f>IF(C18&gt;0,H26*(C17-C18)+H44*C18,H26*C17)</f>
        <v>-1.5891220447620924E-2</v>
      </c>
      <c r="I47" s="4"/>
      <c r="J47" s="4"/>
      <c r="K47" s="88"/>
      <c r="L47" s="128"/>
      <c r="M47" s="128"/>
      <c r="N47" s="128"/>
      <c r="O47" s="128"/>
    </row>
    <row r="48" spans="1:15" s="89" customFormat="1" ht="19.5" customHeight="1" x14ac:dyDescent="0.25">
      <c r="A48" s="91" t="s">
        <v>26</v>
      </c>
      <c r="B48" s="24"/>
      <c r="C48" s="24"/>
      <c r="D48" s="24"/>
      <c r="E48" s="92"/>
      <c r="F48" s="24"/>
      <c r="G48" s="24"/>
      <c r="H48" s="24"/>
      <c r="I48" s="4"/>
      <c r="J48" s="4"/>
      <c r="K48" s="93"/>
      <c r="L48" s="128"/>
      <c r="M48" s="128"/>
      <c r="N48" s="128"/>
      <c r="O48" s="128"/>
    </row>
    <row r="49" spans="1:15" s="89" customFormat="1" ht="20.100000000000001" customHeight="1" x14ac:dyDescent="0.2">
      <c r="A49" s="122" t="s">
        <v>119</v>
      </c>
      <c r="B49" s="248" t="s">
        <v>120</v>
      </c>
      <c r="C49" s="248"/>
      <c r="D49" s="248"/>
      <c r="E49" s="248"/>
      <c r="F49" s="248"/>
      <c r="G49" s="248"/>
      <c r="H49" s="248"/>
      <c r="I49" s="248"/>
      <c r="J49" s="248"/>
      <c r="K49" s="93"/>
      <c r="L49" s="129"/>
      <c r="M49" s="129"/>
      <c r="N49" s="128"/>
      <c r="O49" s="128"/>
    </row>
    <row r="50" spans="1:15" s="89" customFormat="1" ht="38.25" customHeight="1" x14ac:dyDescent="0.2">
      <c r="A50" s="120" t="s">
        <v>27</v>
      </c>
      <c r="B50" s="248" t="s">
        <v>69</v>
      </c>
      <c r="C50" s="248"/>
      <c r="D50" s="248"/>
      <c r="E50" s="248"/>
      <c r="F50" s="248"/>
      <c r="G50" s="248"/>
      <c r="H50" s="248"/>
      <c r="I50" s="248"/>
      <c r="J50" s="248"/>
      <c r="K50" s="94"/>
      <c r="L50" s="129"/>
      <c r="M50" s="129"/>
      <c r="N50" s="128"/>
      <c r="O50" s="128"/>
    </row>
    <row r="51" spans="1:15" s="89" customFormat="1" ht="80.25" customHeight="1" x14ac:dyDescent="0.2">
      <c r="A51" s="95"/>
      <c r="B51" s="248" t="s">
        <v>121</v>
      </c>
      <c r="C51" s="248"/>
      <c r="D51" s="248"/>
      <c r="E51" s="248"/>
      <c r="F51" s="248"/>
      <c r="G51" s="248"/>
      <c r="H51" s="248"/>
      <c r="I51" s="248"/>
      <c r="J51" s="248"/>
      <c r="K51" s="93"/>
      <c r="L51" s="129"/>
      <c r="M51" s="129"/>
      <c r="N51" s="128"/>
      <c r="O51" s="128"/>
    </row>
    <row r="52" spans="1:15" s="89" customFormat="1" ht="63" customHeight="1" x14ac:dyDescent="0.2">
      <c r="A52" s="222" t="s">
        <v>28</v>
      </c>
      <c r="B52" s="240" t="s">
        <v>46</v>
      </c>
      <c r="C52" s="240"/>
      <c r="D52" s="240"/>
      <c r="E52" s="240"/>
      <c r="F52" s="240"/>
      <c r="G52" s="240"/>
      <c r="H52" s="240"/>
      <c r="I52" s="240"/>
      <c r="J52" s="240"/>
      <c r="K52" s="94"/>
      <c r="L52" s="129"/>
      <c r="M52" s="129"/>
      <c r="N52" s="128"/>
      <c r="O52" s="128"/>
    </row>
    <row r="53" spans="1:15" s="89" customFormat="1" ht="169.5" customHeight="1" x14ac:dyDescent="0.2">
      <c r="A53" s="222" t="s">
        <v>47</v>
      </c>
      <c r="B53" s="242" t="s">
        <v>74</v>
      </c>
      <c r="C53" s="242"/>
      <c r="D53" s="242"/>
      <c r="E53" s="242"/>
      <c r="F53" s="242"/>
      <c r="G53" s="242"/>
      <c r="H53" s="242"/>
      <c r="I53" s="242"/>
      <c r="J53" s="242"/>
      <c r="K53" s="243"/>
      <c r="L53" s="130"/>
      <c r="M53" s="129"/>
      <c r="N53" s="128"/>
      <c r="O53" s="128"/>
    </row>
    <row r="54" spans="1:15" s="89" customFormat="1" ht="48.75" customHeight="1" x14ac:dyDescent="0.2">
      <c r="A54" s="131"/>
      <c r="B54" s="250" t="s">
        <v>55</v>
      </c>
      <c r="C54" s="251"/>
      <c r="D54" s="251"/>
      <c r="E54" s="251"/>
      <c r="F54" s="251"/>
      <c r="G54" s="251"/>
      <c r="H54" s="251"/>
      <c r="I54" s="251"/>
      <c r="J54" s="251"/>
      <c r="K54" s="252"/>
      <c r="L54" s="129"/>
      <c r="M54" s="129"/>
      <c r="N54" s="128"/>
      <c r="O54" s="128"/>
    </row>
    <row r="55" spans="1:15" s="89" customFormat="1" ht="58.5" customHeight="1" x14ac:dyDescent="0.2">
      <c r="A55" s="222" t="s">
        <v>48</v>
      </c>
      <c r="B55" s="246" t="s">
        <v>70</v>
      </c>
      <c r="C55" s="246"/>
      <c r="D55" s="246"/>
      <c r="E55" s="246"/>
      <c r="F55" s="246"/>
      <c r="G55" s="246"/>
      <c r="H55" s="246"/>
      <c r="I55" s="246"/>
      <c r="J55" s="246"/>
      <c r="K55" s="247"/>
      <c r="L55" s="129"/>
      <c r="M55" s="129"/>
      <c r="N55" s="128"/>
      <c r="O55" s="128"/>
    </row>
    <row r="56" spans="1:15" s="89" customFormat="1" ht="39" customHeight="1" x14ac:dyDescent="0.2">
      <c r="A56" s="222" t="s">
        <v>29</v>
      </c>
      <c r="B56" s="248" t="s">
        <v>71</v>
      </c>
      <c r="C56" s="248"/>
      <c r="D56" s="248"/>
      <c r="E56" s="248"/>
      <c r="F56" s="248"/>
      <c r="G56" s="248"/>
      <c r="H56" s="248"/>
      <c r="I56" s="248"/>
      <c r="J56" s="248"/>
      <c r="K56" s="249"/>
      <c r="L56" s="129"/>
      <c r="M56" s="129"/>
      <c r="N56" s="128"/>
      <c r="O56" s="128"/>
    </row>
    <row r="57" spans="1:15" s="89" customFormat="1" ht="30.75" customHeight="1" x14ac:dyDescent="0.2">
      <c r="A57" s="131"/>
      <c r="B57" s="248" t="s">
        <v>53</v>
      </c>
      <c r="C57" s="248"/>
      <c r="D57" s="248"/>
      <c r="E57" s="248"/>
      <c r="F57" s="248"/>
      <c r="G57" s="248"/>
      <c r="H57" s="248"/>
      <c r="I57" s="248"/>
      <c r="J57" s="248"/>
      <c r="K57" s="249"/>
      <c r="L57" s="129"/>
      <c r="M57" s="129"/>
      <c r="N57" s="128"/>
      <c r="O57" s="128"/>
    </row>
    <row r="58" spans="1:15" s="89" customFormat="1" ht="51.75" customHeight="1" x14ac:dyDescent="0.2">
      <c r="A58" s="96"/>
      <c r="B58" s="248" t="s">
        <v>54</v>
      </c>
      <c r="C58" s="248"/>
      <c r="D58" s="248"/>
      <c r="E58" s="248"/>
      <c r="F58" s="248"/>
      <c r="G58" s="248"/>
      <c r="H58" s="248"/>
      <c r="I58" s="248"/>
      <c r="J58" s="248"/>
      <c r="K58" s="249"/>
      <c r="L58" s="129"/>
      <c r="M58" s="129"/>
      <c r="N58" s="128"/>
      <c r="O58" s="128"/>
    </row>
    <row r="59" spans="1:15" s="89" customFormat="1" ht="32.25" customHeight="1" x14ac:dyDescent="0.2">
      <c r="A59" s="222" t="s">
        <v>30</v>
      </c>
      <c r="B59" s="240" t="s">
        <v>49</v>
      </c>
      <c r="C59" s="240"/>
      <c r="D59" s="240"/>
      <c r="E59" s="240"/>
      <c r="F59" s="240"/>
      <c r="G59" s="240"/>
      <c r="H59" s="240"/>
      <c r="I59" s="240"/>
      <c r="J59" s="240"/>
      <c r="K59" s="241"/>
      <c r="L59" s="129"/>
      <c r="M59" s="129"/>
      <c r="N59" s="128"/>
      <c r="O59" s="128"/>
    </row>
    <row r="60" spans="1:15" s="89" customFormat="1" ht="101.25" customHeight="1" x14ac:dyDescent="0.2">
      <c r="A60" s="222" t="s">
        <v>50</v>
      </c>
      <c r="B60" s="248" t="s">
        <v>72</v>
      </c>
      <c r="C60" s="248"/>
      <c r="D60" s="248"/>
      <c r="E60" s="248"/>
      <c r="F60" s="248"/>
      <c r="G60" s="248"/>
      <c r="H60" s="248"/>
      <c r="I60" s="248"/>
      <c r="J60" s="248"/>
      <c r="K60" s="249"/>
      <c r="L60" s="129"/>
      <c r="M60" s="129"/>
      <c r="N60" s="128"/>
      <c r="O60" s="128"/>
    </row>
    <row r="61" spans="1:15" s="89" customFormat="1" ht="36" customHeight="1" x14ac:dyDescent="0.2">
      <c r="A61" s="222" t="s">
        <v>51</v>
      </c>
      <c r="B61" s="240" t="s">
        <v>52</v>
      </c>
      <c r="C61" s="240"/>
      <c r="D61" s="240"/>
      <c r="E61" s="240"/>
      <c r="F61" s="240"/>
      <c r="G61" s="240"/>
      <c r="H61" s="240"/>
      <c r="I61" s="240"/>
      <c r="J61" s="240"/>
      <c r="K61" s="241"/>
      <c r="L61" s="129"/>
      <c r="M61" s="129"/>
      <c r="N61" s="128"/>
      <c r="O61" s="128"/>
    </row>
    <row r="62" spans="1:15" s="89" customFormat="1" ht="45" customHeight="1" x14ac:dyDescent="0.2">
      <c r="A62" s="222" t="s">
        <v>31</v>
      </c>
      <c r="B62" s="242" t="s">
        <v>56</v>
      </c>
      <c r="C62" s="242"/>
      <c r="D62" s="242"/>
      <c r="E62" s="242"/>
      <c r="F62" s="242"/>
      <c r="G62" s="242"/>
      <c r="H62" s="242"/>
      <c r="I62" s="242"/>
      <c r="J62" s="242"/>
      <c r="K62" s="243"/>
      <c r="L62" s="129"/>
      <c r="M62" s="129"/>
      <c r="N62" s="128"/>
      <c r="O62" s="128"/>
    </row>
    <row r="63" spans="1:15" ht="15" x14ac:dyDescent="0.2">
      <c r="A63" s="97"/>
      <c r="B63" s="98"/>
      <c r="C63" s="99"/>
      <c r="D63" s="99"/>
      <c r="E63" s="98"/>
      <c r="F63" s="100"/>
      <c r="G63" s="100"/>
      <c r="H63" s="100"/>
      <c r="I63" s="100"/>
      <c r="J63" s="100"/>
      <c r="K63" s="101"/>
    </row>
    <row r="64" spans="1:15" ht="15" x14ac:dyDescent="0.2">
      <c r="A64" s="2"/>
      <c r="B64" s="2"/>
      <c r="C64" s="2"/>
      <c r="D64" s="2"/>
      <c r="E64" s="2"/>
      <c r="F64" s="92"/>
      <c r="G64" s="92"/>
      <c r="H64" s="92"/>
      <c r="I64" s="92"/>
      <c r="J64" s="92"/>
    </row>
    <row r="65" spans="6:10" ht="15" x14ac:dyDescent="0.2">
      <c r="F65" s="103"/>
      <c r="G65" s="103"/>
      <c r="H65" s="103"/>
      <c r="I65" s="103"/>
      <c r="J65" s="103"/>
    </row>
    <row r="66" spans="6:10" x14ac:dyDescent="0.2">
      <c r="F66" s="104"/>
      <c r="G66" s="104"/>
      <c r="H66" s="104"/>
      <c r="I66" s="104"/>
      <c r="J66" s="104"/>
    </row>
  </sheetData>
  <sheetProtection password="C915" sheet="1" objects="1" scenarios="1"/>
  <mergeCells count="23">
    <mergeCell ref="B52:J52"/>
    <mergeCell ref="B53:K53"/>
    <mergeCell ref="B5:E5"/>
    <mergeCell ref="B6:E6"/>
    <mergeCell ref="B7:E7"/>
    <mergeCell ref="B54:K54"/>
    <mergeCell ref="B49:J49"/>
    <mergeCell ref="B50:J50"/>
    <mergeCell ref="B51:J51"/>
    <mergeCell ref="F1:G1"/>
    <mergeCell ref="G11:H11"/>
    <mergeCell ref="I11:J11"/>
    <mergeCell ref="G29:H29"/>
    <mergeCell ref="I29:J29"/>
    <mergeCell ref="I32:J32"/>
    <mergeCell ref="B61:K61"/>
    <mergeCell ref="B62:K62"/>
    <mergeCell ref="B55:K55"/>
    <mergeCell ref="B56:K56"/>
    <mergeCell ref="B57:K57"/>
    <mergeCell ref="B58:K58"/>
    <mergeCell ref="B59:K59"/>
    <mergeCell ref="B60:K60"/>
  </mergeCells>
  <conditionalFormatting sqref="C40">
    <cfRule type="expression" dxfId="26" priority="24" stopIfTrue="1">
      <formula>$C$18&gt;0</formula>
    </cfRule>
  </conditionalFormatting>
  <conditionalFormatting sqref="J33:J36 J41 J31 G31:G41">
    <cfRule type="expression" dxfId="25" priority="23" stopIfTrue="1">
      <formula>$C$18&gt;0</formula>
    </cfRule>
  </conditionalFormatting>
  <conditionalFormatting sqref="I33:I36 I31 H41:I41 F31:F41 H32:H40">
    <cfRule type="expression" dxfId="24" priority="22" stopIfTrue="1">
      <formula>$C$18&gt;0</formula>
    </cfRule>
  </conditionalFormatting>
  <conditionalFormatting sqref="J37:J40">
    <cfRule type="expression" dxfId="23" priority="21" stopIfTrue="1">
      <formula>$C$18&gt;0</formula>
    </cfRule>
  </conditionalFormatting>
  <conditionalFormatting sqref="G44">
    <cfRule type="expression" dxfId="22" priority="7" stopIfTrue="1">
      <formula>$C$18&gt;0</formula>
    </cfRule>
    <cfRule type="expression" dxfId="21" priority="20" stopIfTrue="1">
      <formula>$C$18&gt;0</formula>
    </cfRule>
  </conditionalFormatting>
  <conditionalFormatting sqref="F44">
    <cfRule type="expression" dxfId="20" priority="19" stopIfTrue="1">
      <formula>$C$18&gt;0</formula>
    </cfRule>
  </conditionalFormatting>
  <conditionalFormatting sqref="H44 H47">
    <cfRule type="expression" dxfId="19" priority="18" stopIfTrue="1">
      <formula>$C$18&gt;0</formula>
    </cfRule>
  </conditionalFormatting>
  <conditionalFormatting sqref="H31">
    <cfRule type="expression" dxfId="18" priority="17" stopIfTrue="1">
      <formula>$C$18&gt;0</formula>
    </cfRule>
  </conditionalFormatting>
  <conditionalFormatting sqref="F30">
    <cfRule type="containsText" dxfId="17" priority="11" stopIfTrue="1" operator="containsText" text="Grundlohn">
      <formula>NOT(ISERROR(SEARCH("Grundlohn",F30)))</formula>
    </cfRule>
    <cfRule type="containsText" priority="12" stopIfTrue="1" operator="containsText" text="Grundlohn">
      <formula>NOT(ISERROR(SEARCH("Grundlohn",F30)))</formula>
    </cfRule>
    <cfRule type="expression" dxfId="16" priority="16" stopIfTrue="1">
      <formula>$C$18&gt;0</formula>
    </cfRule>
  </conditionalFormatting>
  <conditionalFormatting sqref="G30">
    <cfRule type="expression" dxfId="15" priority="15" stopIfTrue="1">
      <formula>$C$18&gt;0</formula>
    </cfRule>
  </conditionalFormatting>
  <conditionalFormatting sqref="J30">
    <cfRule type="expression" dxfId="14" priority="14" stopIfTrue="1">
      <formula>$C$18&gt;0</formula>
    </cfRule>
  </conditionalFormatting>
  <conditionalFormatting sqref="H30">
    <cfRule type="expression" dxfId="13" priority="13" stopIfTrue="1">
      <formula>$C$18&gt;0</formula>
    </cfRule>
  </conditionalFormatting>
  <conditionalFormatting sqref="F38:H38">
    <cfRule type="expression" dxfId="12" priority="10" stopIfTrue="1">
      <formula>$C$18&gt;0</formula>
    </cfRule>
  </conditionalFormatting>
  <conditionalFormatting sqref="G38">
    <cfRule type="expression" dxfId="11" priority="9" stopIfTrue="1">
      <formula>$C$18&gt;0</formula>
    </cfRule>
  </conditionalFormatting>
  <conditionalFormatting sqref="G30:G41">
    <cfRule type="expression" dxfId="10" priority="8" stopIfTrue="1">
      <formula>$C$18&gt;0</formula>
    </cfRule>
  </conditionalFormatting>
  <conditionalFormatting sqref="G47">
    <cfRule type="expression" dxfId="9" priority="6" stopIfTrue="1">
      <formula>$C$18&gt;0</formula>
    </cfRule>
  </conditionalFormatting>
  <conditionalFormatting sqref="J30:J31">
    <cfRule type="expression" dxfId="8" priority="5" stopIfTrue="1">
      <formula>$C$18&gt;0</formula>
    </cfRule>
  </conditionalFormatting>
  <conditionalFormatting sqref="J33:J36">
    <cfRule type="expression" dxfId="7" priority="4" stopIfTrue="1">
      <formula>$C$18&gt;0</formula>
    </cfRule>
  </conditionalFormatting>
  <conditionalFormatting sqref="J41">
    <cfRule type="expression" dxfId="6" priority="3" stopIfTrue="1">
      <formula>$C$18&gt;0</formula>
    </cfRule>
  </conditionalFormatting>
  <conditionalFormatting sqref="G29:H29">
    <cfRule type="expression" dxfId="5" priority="2">
      <formula>$C$18&gt;0</formula>
    </cfRule>
  </conditionalFormatting>
  <conditionalFormatting sqref="I29:J29">
    <cfRule type="expression" dxfId="4" priority="1">
      <formula>$C$18&gt;0</formula>
    </cfRule>
  </conditionalFormatting>
  <dataValidations count="4">
    <dataValidation type="list" allowBlank="1" showInputMessage="1" showErrorMessage="1" sqref="A18">
      <formula1>$L$14:$L$16</formula1>
    </dataValidation>
    <dataValidation type="list" allowBlank="1" showInputMessage="1" showErrorMessage="1" sqref="D27:D30">
      <formula1>$L$11:$L$12</formula1>
    </dataValidation>
    <dataValidation type="list" allowBlank="1" showInputMessage="1" showErrorMessage="1" sqref="D14">
      <formula1>$L$17:$L$18</formula1>
    </dataValidation>
    <dataValidation type="list" allowBlank="1" showInputMessage="1" showErrorMessage="1" sqref="D25">
      <formula1>$L$26:$L$27</formula1>
    </dataValidation>
  </dataValidations>
  <hyperlinks>
    <hyperlink ref="A50" location="'SECO Direttiva'!A7" display="Salario di base:"/>
    <hyperlink ref="A52" location="'SECO Direttiva'!A32" display="Indennità supplementare:"/>
    <hyperlink ref="A53" location="'SECO Direttiva'!A19" display="Indennità lavoro distaccato:"/>
    <hyperlink ref="A60" location="'SECO Direttiva'!A59" display="13a/14a mensilità:"/>
    <hyperlink ref="A55" location="'SECO Direttiva'!A35" display="Compenso sotto forma di capitale:"/>
    <hyperlink ref="A56" location="'SECO Direttiva'!A40" display="Indennità di vacanza:"/>
    <hyperlink ref="A59" location="'SECO Direttiva'!A54" display="Indennità festiva:"/>
    <hyperlink ref="A61" location="'SECO Direttiva'!A67" display="Assegno per ferie/gratifica natalizia:"/>
    <hyperlink ref="A62" location="'SECO Direttiva'!A71" display="Tasso di cambio:"/>
    <hyperlink ref="A24" r:id="rId1"/>
    <hyperlink ref="A42" r:id="rId2"/>
  </hyperlinks>
  <printOptions horizontalCentered="1" gridLines="1"/>
  <pageMargins left="0.39370078740157483" right="0.39370078740157483" top="0.59055118110236227" bottom="0.59055118110236227" header="0.39370078740157483" footer="0.39370078740157483"/>
  <pageSetup paperSize="9" scale="59" fitToHeight="0" orientation="landscape" r:id="rId3"/>
  <headerFooter alignWithMargins="0">
    <oddFooter xml:space="preserve">&amp;L&amp;"Arial,Fett"&amp;9&amp;D / &amp;T&amp;C&amp;"Arial,Fett"&amp;9&amp;F </oddFooter>
  </headerFooter>
  <rowBreaks count="1" manualBreakCount="1">
    <brk id="47" max="10" man="1"/>
  </rowBreaks>
  <drawing r:id="rId4"/>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1"/>
  <sheetViews>
    <sheetView zoomScale="95" zoomScaleNormal="95" workbookViewId="0"/>
  </sheetViews>
  <sheetFormatPr baseColWidth="10" defaultRowHeight="14.25" x14ac:dyDescent="0.2"/>
  <cols>
    <col min="1" max="1" width="49" style="140" customWidth="1"/>
    <col min="2" max="2" width="15.5703125" style="140" customWidth="1"/>
    <col min="3" max="3" width="11.42578125" style="140"/>
    <col min="4" max="4" width="25.42578125" style="140" customWidth="1"/>
    <col min="5" max="5" width="7.5703125" style="140" customWidth="1"/>
    <col min="6" max="6" width="44" style="140" customWidth="1"/>
    <col min="7" max="16384" width="11.42578125" style="140"/>
  </cols>
  <sheetData>
    <row r="1" spans="1:12" ht="63.75" customHeight="1" x14ac:dyDescent="0.2">
      <c r="A1" s="2"/>
      <c r="B1" s="138"/>
      <c r="C1" s="138"/>
      <c r="D1" s="138"/>
      <c r="E1" s="138"/>
      <c r="F1" s="253"/>
      <c r="G1" s="253"/>
      <c r="H1" s="139"/>
      <c r="I1" s="139"/>
      <c r="J1" s="138"/>
      <c r="K1" s="138"/>
    </row>
    <row r="2" spans="1:12" ht="16.350000000000001" customHeight="1" x14ac:dyDescent="0.2">
      <c r="A2" s="141" t="s">
        <v>129</v>
      </c>
      <c r="B2" s="142"/>
      <c r="C2" s="142"/>
      <c r="D2" s="142"/>
      <c r="E2" s="143"/>
      <c r="F2" s="144"/>
      <c r="G2" s="145"/>
      <c r="H2" s="145"/>
      <c r="I2" s="145"/>
      <c r="J2" s="145"/>
      <c r="K2" s="145"/>
    </row>
    <row r="3" spans="1:12" ht="15" customHeight="1" x14ac:dyDescent="0.2">
      <c r="A3" s="146"/>
      <c r="B3" s="146"/>
      <c r="C3" s="146"/>
      <c r="D3" s="147"/>
      <c r="E3" s="147"/>
      <c r="F3" s="147"/>
      <c r="G3" s="147"/>
      <c r="H3" s="147"/>
      <c r="I3" s="138"/>
      <c r="J3" s="138"/>
      <c r="K3" s="138"/>
    </row>
    <row r="4" spans="1:12" ht="15" customHeight="1" x14ac:dyDescent="0.2">
      <c r="A4" s="146"/>
      <c r="B4" s="146"/>
      <c r="C4" s="146"/>
      <c r="D4" s="147"/>
      <c r="E4" s="147"/>
      <c r="F4" s="147"/>
      <c r="G4" s="147"/>
      <c r="H4" s="147"/>
      <c r="I4" s="138"/>
      <c r="J4" s="138"/>
      <c r="K4" s="138"/>
      <c r="L4" s="148" t="s">
        <v>18</v>
      </c>
    </row>
    <row r="5" spans="1:12" ht="15" customHeight="1" x14ac:dyDescent="0.2">
      <c r="A5" s="146"/>
      <c r="B5" s="146"/>
      <c r="C5" s="146"/>
      <c r="D5" s="147"/>
      <c r="E5" s="147"/>
      <c r="F5" s="147"/>
      <c r="G5" s="147"/>
      <c r="H5" s="147"/>
      <c r="I5" s="138"/>
      <c r="J5" s="138"/>
      <c r="K5" s="138"/>
      <c r="L5" s="148" t="s">
        <v>33</v>
      </c>
    </row>
    <row r="6" spans="1:12" s="155" customFormat="1" ht="15" customHeight="1" x14ac:dyDescent="0.25">
      <c r="A6" s="149" t="s">
        <v>3</v>
      </c>
      <c r="B6" s="149"/>
      <c r="C6" s="150"/>
      <c r="D6" s="150"/>
      <c r="E6" s="150"/>
      <c r="F6" s="151" t="s">
        <v>130</v>
      </c>
      <c r="G6" s="152"/>
      <c r="H6" s="152"/>
      <c r="I6" s="152"/>
      <c r="J6" s="152"/>
      <c r="K6" s="153"/>
      <c r="L6" s="154" t="s">
        <v>34</v>
      </c>
    </row>
    <row r="7" spans="1:12" s="155" customFormat="1" ht="29.1" customHeight="1" x14ac:dyDescent="0.25">
      <c r="A7" s="149" t="s">
        <v>131</v>
      </c>
      <c r="B7" s="149"/>
      <c r="C7" s="152"/>
      <c r="D7" s="150"/>
      <c r="E7" s="150"/>
      <c r="F7" s="156"/>
      <c r="G7" s="264" t="s">
        <v>20</v>
      </c>
      <c r="H7" s="265"/>
      <c r="I7" s="138"/>
      <c r="J7" s="138"/>
      <c r="K7" s="153"/>
      <c r="L7" s="154" t="s">
        <v>35</v>
      </c>
    </row>
    <row r="8" spans="1:12" s="155" customFormat="1" ht="15" customHeight="1" thickBot="1" x14ac:dyDescent="0.3">
      <c r="A8" s="149"/>
      <c r="B8" s="149"/>
      <c r="C8" s="149" t="s">
        <v>0</v>
      </c>
      <c r="D8" s="150"/>
      <c r="E8" s="150"/>
      <c r="F8" s="157"/>
      <c r="G8" s="158" t="s">
        <v>21</v>
      </c>
      <c r="H8" s="159" t="s">
        <v>1</v>
      </c>
      <c r="I8" s="138"/>
      <c r="J8" s="138"/>
      <c r="K8" s="153"/>
      <c r="L8" s="154" t="s">
        <v>38</v>
      </c>
    </row>
    <row r="9" spans="1:12" s="155" customFormat="1" ht="15" customHeight="1" thickTop="1" x14ac:dyDescent="0.25">
      <c r="A9" s="149"/>
      <c r="B9" s="149"/>
      <c r="C9" s="160"/>
      <c r="D9" s="150"/>
      <c r="E9" s="150"/>
      <c r="F9" s="161" t="s">
        <v>4</v>
      </c>
      <c r="G9" s="162">
        <f>$H9/$C$32</f>
        <v>30.475416497358797</v>
      </c>
      <c r="H9" s="163">
        <f>C25</f>
        <v>30</v>
      </c>
      <c r="I9" s="138"/>
      <c r="J9" s="138"/>
      <c r="K9" s="153"/>
      <c r="L9" s="154" t="s">
        <v>36</v>
      </c>
    </row>
    <row r="10" spans="1:12" s="155" customFormat="1" ht="15" customHeight="1" x14ac:dyDescent="0.2">
      <c r="A10" s="152" t="s">
        <v>132</v>
      </c>
      <c r="B10" s="152"/>
      <c r="C10" s="1">
        <v>2650</v>
      </c>
      <c r="D10" s="232" t="s">
        <v>133</v>
      </c>
      <c r="E10" s="164"/>
      <c r="F10" s="165" t="s">
        <v>134</v>
      </c>
      <c r="G10" s="166">
        <f>IF(C14&gt;0,H10/$C$32,"")</f>
        <v>15.237708248679398</v>
      </c>
      <c r="H10" s="167">
        <f>IF(AND(C14&gt;0,C30=""),H9*B30,IF(C14&gt;0,H9*C30/100,""))</f>
        <v>15</v>
      </c>
      <c r="I10" s="138"/>
      <c r="J10" s="138"/>
      <c r="K10" s="153"/>
      <c r="L10" s="154" t="s">
        <v>12</v>
      </c>
    </row>
    <row r="11" spans="1:12" s="155" customFormat="1" ht="15" customHeight="1" x14ac:dyDescent="0.2">
      <c r="A11" s="152" t="s">
        <v>5</v>
      </c>
      <c r="B11" s="152"/>
      <c r="C11" s="1">
        <v>8</v>
      </c>
      <c r="D11" s="150" t="s">
        <v>13</v>
      </c>
      <c r="E11" s="150"/>
      <c r="F11" s="161" t="s">
        <v>22</v>
      </c>
      <c r="G11" s="166">
        <f>$H11/$C$32</f>
        <v>2.5396180414465661</v>
      </c>
      <c r="H11" s="168">
        <f>SUM(H$9)*(C26/(260-C26))</f>
        <v>2.5</v>
      </c>
      <c r="I11" s="138"/>
      <c r="J11" s="138"/>
      <c r="K11" s="153"/>
      <c r="L11" s="154" t="s">
        <v>133</v>
      </c>
    </row>
    <row r="12" spans="1:12" s="155" customFormat="1" ht="15" customHeight="1" x14ac:dyDescent="0.2">
      <c r="A12" s="152" t="s">
        <v>6</v>
      </c>
      <c r="B12" s="152"/>
      <c r="C12" s="1">
        <v>8</v>
      </c>
      <c r="D12" s="150" t="s">
        <v>14</v>
      </c>
      <c r="E12" s="150"/>
      <c r="F12" s="161" t="s">
        <v>23</v>
      </c>
      <c r="G12" s="166">
        <f>$H12/$C$32</f>
        <v>1.0927440178335825</v>
      </c>
      <c r="H12" s="168">
        <f>SUM(H$9)*(C27/(260-C27))</f>
        <v>1.0756972111553786</v>
      </c>
      <c r="I12" s="138"/>
      <c r="J12" s="138"/>
      <c r="K12" s="153"/>
      <c r="L12" s="154"/>
    </row>
    <row r="13" spans="1:12" s="155" customFormat="1" ht="15" customHeight="1" x14ac:dyDescent="0.2">
      <c r="A13" s="152" t="s">
        <v>7</v>
      </c>
      <c r="B13" s="152"/>
      <c r="C13" s="1">
        <v>64</v>
      </c>
      <c r="D13" s="150" t="s">
        <v>15</v>
      </c>
      <c r="E13" s="150"/>
      <c r="F13" s="161" t="s">
        <v>135</v>
      </c>
      <c r="G13" s="166">
        <f>$H13/$C$32</f>
        <v>2.842314879719912</v>
      </c>
      <c r="H13" s="168">
        <f>(H9+H11+H12)*(C28/100)*(1/12)</f>
        <v>2.7979747675962816</v>
      </c>
      <c r="I13" s="138"/>
      <c r="J13" s="138"/>
      <c r="K13" s="153"/>
      <c r="L13" s="154"/>
    </row>
    <row r="14" spans="1:12" s="155" customFormat="1" ht="15" customHeight="1" x14ac:dyDescent="0.2">
      <c r="A14" s="169" t="s">
        <v>36</v>
      </c>
      <c r="B14" s="170"/>
      <c r="C14" s="1">
        <v>4</v>
      </c>
      <c r="D14" s="150" t="s">
        <v>15</v>
      </c>
      <c r="E14" s="150"/>
      <c r="F14" s="161" t="s">
        <v>136</v>
      </c>
      <c r="G14" s="166">
        <f>$H14/$C$32</f>
        <v>0</v>
      </c>
      <c r="H14" s="168">
        <f>(H9+H11+H12)*(C29/100)*(1/12)</f>
        <v>0</v>
      </c>
      <c r="I14" s="138"/>
      <c r="J14" s="138"/>
      <c r="K14" s="153"/>
      <c r="L14" s="154"/>
    </row>
    <row r="15" spans="1:12" s="155" customFormat="1" ht="15" customHeight="1" x14ac:dyDescent="0.25">
      <c r="A15" s="152" t="str">
        <f>IF(AND(A14="          di cui lavoro notturno",C14&gt;0),"          supplemento lavoro notturno",IF(AND(A14="          di cui lavoro di sabato",C14&gt;0),"          supplemento lavoro di sabato",IF(AND(A14="          di cui lavoro domenicale",C14&gt;0),"          supplemento lavoro domenicale","")))</f>
        <v xml:space="preserve">          supplemento lavoro domenicale</v>
      </c>
      <c r="B15" s="152"/>
      <c r="C15" s="169"/>
      <c r="D15" s="150" t="s">
        <v>12</v>
      </c>
      <c r="E15" s="150"/>
      <c r="F15" s="171" t="s">
        <v>137</v>
      </c>
      <c r="G15" s="172">
        <f>SUM(G$9:G$14)</f>
        <v>52.187801685038259</v>
      </c>
      <c r="H15" s="173">
        <f>SUM(H$9:H$14)</f>
        <v>51.373671978751659</v>
      </c>
      <c r="I15" s="138"/>
      <c r="J15" s="138"/>
      <c r="K15" s="153"/>
      <c r="L15" s="154"/>
    </row>
    <row r="16" spans="1:12" s="155" customFormat="1" ht="15" customHeight="1" x14ac:dyDescent="0.2">
      <c r="A16" s="152" t="s">
        <v>138</v>
      </c>
      <c r="B16" s="152"/>
      <c r="C16" s="1">
        <v>0</v>
      </c>
      <c r="D16" s="150" t="s">
        <v>13</v>
      </c>
      <c r="E16" s="174"/>
      <c r="F16" s="175"/>
      <c r="G16" s="176"/>
      <c r="H16" s="176"/>
      <c r="I16" s="176"/>
      <c r="J16" s="176"/>
      <c r="K16" s="177"/>
      <c r="L16" s="154"/>
    </row>
    <row r="17" spans="1:13" s="155" customFormat="1" ht="18" customHeight="1" x14ac:dyDescent="0.2">
      <c r="A17" s="214" t="s">
        <v>139</v>
      </c>
      <c r="B17" s="152"/>
      <c r="C17" s="1">
        <v>0</v>
      </c>
      <c r="D17" s="150" t="s">
        <v>13</v>
      </c>
      <c r="E17" s="178"/>
      <c r="F17" s="179" t="s">
        <v>140</v>
      </c>
      <c r="G17" s="180"/>
      <c r="H17" s="180"/>
      <c r="I17" s="180"/>
      <c r="J17" s="180"/>
      <c r="K17" s="181"/>
      <c r="L17" s="154"/>
    </row>
    <row r="18" spans="1:13" s="155" customFormat="1" ht="15.6" customHeight="1" x14ac:dyDescent="0.2">
      <c r="A18" s="152" t="s">
        <v>141</v>
      </c>
      <c r="B18" s="152"/>
      <c r="C18" s="1">
        <v>1500</v>
      </c>
      <c r="D18" s="232" t="s">
        <v>17</v>
      </c>
      <c r="E18" s="182"/>
      <c r="G18" s="183"/>
      <c r="H18" s="183"/>
      <c r="I18" s="184"/>
      <c r="J18" s="152"/>
      <c r="K18" s="153"/>
      <c r="L18" s="154"/>
    </row>
    <row r="19" spans="1:13" s="155" customFormat="1" ht="15" customHeight="1" x14ac:dyDescent="0.2">
      <c r="A19" s="152"/>
      <c r="B19" s="152"/>
      <c r="C19" s="185"/>
      <c r="D19" s="150"/>
      <c r="E19" s="182"/>
      <c r="F19" s="186" t="s">
        <v>142</v>
      </c>
      <c r="G19" s="266" t="s">
        <v>143</v>
      </c>
      <c r="H19" s="267"/>
      <c r="I19" s="268" t="s">
        <v>144</v>
      </c>
      <c r="J19" s="266" t="s">
        <v>145</v>
      </c>
      <c r="K19" s="267"/>
      <c r="L19" s="154"/>
    </row>
    <row r="20" spans="1:13" s="155" customFormat="1" ht="15" customHeight="1" thickBot="1" x14ac:dyDescent="0.25">
      <c r="A20" s="152" t="s">
        <v>146</v>
      </c>
      <c r="B20" s="152"/>
      <c r="C20" s="1">
        <v>500</v>
      </c>
      <c r="D20" s="150" t="s">
        <v>21</v>
      </c>
      <c r="E20" s="182"/>
      <c r="F20" s="152"/>
      <c r="G20" s="187" t="s">
        <v>21</v>
      </c>
      <c r="H20" s="188" t="s">
        <v>1</v>
      </c>
      <c r="I20" s="269"/>
      <c r="J20" s="158" t="s">
        <v>21</v>
      </c>
      <c r="K20" s="159" t="s">
        <v>1</v>
      </c>
      <c r="L20" s="154" t="s">
        <v>17</v>
      </c>
    </row>
    <row r="21" spans="1:13" s="155" customFormat="1" ht="15" customHeight="1" thickTop="1" x14ac:dyDescent="0.2">
      <c r="A21" s="152"/>
      <c r="B21" s="152"/>
      <c r="C21" s="150"/>
      <c r="D21" s="150"/>
      <c r="E21" s="182"/>
      <c r="F21" s="189" t="s">
        <v>147</v>
      </c>
      <c r="G21" s="162">
        <f>IF(C14&gt;0,G15,"")</f>
        <v>52.187801685038259</v>
      </c>
      <c r="H21" s="163">
        <f>IF(C14&gt;0,H15,"")</f>
        <v>51.373671978751659</v>
      </c>
      <c r="I21" s="190">
        <f>IF(C14&gt;0,C14,"")</f>
        <v>4</v>
      </c>
      <c r="J21" s="191">
        <f>IF(C14&gt;0,G21*I21,"")</f>
        <v>208.75120674015304</v>
      </c>
      <c r="K21" s="192">
        <f>IF(C14&gt;0,H21*I21,"")</f>
        <v>205.49468791500664</v>
      </c>
      <c r="L21" s="154" t="s">
        <v>37</v>
      </c>
    </row>
    <row r="22" spans="1:13" s="155" customFormat="1" ht="30" x14ac:dyDescent="0.2">
      <c r="A22" s="152"/>
      <c r="B22" s="152"/>
      <c r="C22" s="185"/>
      <c r="D22" s="150"/>
      <c r="E22" s="182"/>
      <c r="F22" s="189" t="s">
        <v>148</v>
      </c>
      <c r="G22" s="162">
        <f>IF(C14&gt;0,G15-G10,G15)</f>
        <v>36.950093436358863</v>
      </c>
      <c r="H22" s="163">
        <f>IF(C14&gt;0,H15-H10,H15)</f>
        <v>36.373671978751659</v>
      </c>
      <c r="I22" s="193">
        <f>C13-C14</f>
        <v>60</v>
      </c>
      <c r="J22" s="191">
        <f>G22*I22</f>
        <v>2217.0056061815317</v>
      </c>
      <c r="K22" s="192">
        <f>H22*I22</f>
        <v>2182.4203187250996</v>
      </c>
      <c r="L22" s="154"/>
      <c r="M22" s="194"/>
    </row>
    <row r="23" spans="1:13" s="155" customFormat="1" ht="15" customHeight="1" x14ac:dyDescent="0.25">
      <c r="A23" s="149" t="s">
        <v>11</v>
      </c>
      <c r="B23" s="149"/>
      <c r="C23" s="185"/>
      <c r="D23" s="150"/>
      <c r="E23" s="182"/>
      <c r="F23" s="161" t="s">
        <v>145</v>
      </c>
      <c r="G23" s="146"/>
      <c r="H23" s="146"/>
      <c r="I23" s="190">
        <f>SUM(I21:I22)</f>
        <v>64</v>
      </c>
      <c r="J23" s="191">
        <f>SUM(J21:J22)</f>
        <v>2425.7568129216847</v>
      </c>
      <c r="K23" s="192">
        <f>SUM(K21:K22)</f>
        <v>2387.9150066401062</v>
      </c>
      <c r="L23" s="154"/>
      <c r="M23" s="194"/>
    </row>
    <row r="24" spans="1:13" s="155" customFormat="1" ht="15" customHeight="1" x14ac:dyDescent="0.2">
      <c r="A24" s="152"/>
      <c r="B24" s="152"/>
      <c r="C24" s="185"/>
      <c r="D24" s="150"/>
      <c r="E24" s="182"/>
      <c r="G24" s="146"/>
      <c r="H24" s="146"/>
      <c r="I24" s="146"/>
      <c r="J24" s="195"/>
      <c r="K24" s="196"/>
      <c r="L24" s="154"/>
    </row>
    <row r="25" spans="1:13" s="155" customFormat="1" ht="15" customHeight="1" x14ac:dyDescent="0.2">
      <c r="A25" s="152" t="s">
        <v>149</v>
      </c>
      <c r="B25" s="152"/>
      <c r="C25" s="1">
        <v>30</v>
      </c>
      <c r="D25" s="150" t="s">
        <v>1</v>
      </c>
      <c r="E25" s="182"/>
      <c r="F25" s="186" t="s">
        <v>150</v>
      </c>
      <c r="G25" s="146"/>
      <c r="H25" s="146"/>
      <c r="I25" s="146"/>
      <c r="J25" s="195"/>
      <c r="K25" s="196"/>
      <c r="L25" s="154"/>
    </row>
    <row r="26" spans="1:13" s="155" customFormat="1" ht="15" customHeight="1" x14ac:dyDescent="0.2">
      <c r="A26" s="152" t="s">
        <v>8</v>
      </c>
      <c r="B26" s="152"/>
      <c r="C26" s="1">
        <v>20</v>
      </c>
      <c r="D26" s="150" t="s">
        <v>13</v>
      </c>
      <c r="E26" s="182"/>
      <c r="F26" s="197" t="s">
        <v>132</v>
      </c>
      <c r="G26" s="198"/>
      <c r="H26" s="198"/>
      <c r="I26" s="198"/>
      <c r="J26" s="199">
        <f>IF(D10="forfait in euro",C10,C10*C13)</f>
        <v>2650</v>
      </c>
      <c r="K26" s="200">
        <f>J26*C32</f>
        <v>2608.6600000000003</v>
      </c>
    </row>
    <row r="27" spans="1:13" s="155" customFormat="1" ht="15" customHeight="1" x14ac:dyDescent="0.2">
      <c r="A27" s="152" t="s">
        <v>9</v>
      </c>
      <c r="B27" s="152"/>
      <c r="C27" s="1">
        <v>9</v>
      </c>
      <c r="D27" s="150" t="s">
        <v>13</v>
      </c>
      <c r="E27" s="182"/>
      <c r="F27" s="197" t="s">
        <v>141</v>
      </c>
      <c r="G27" s="198"/>
      <c r="H27" s="198"/>
      <c r="I27" s="198"/>
      <c r="J27" s="199">
        <f>IF(D18="euro per la durata dell'impiego",C18,C18*C11)</f>
        <v>1500</v>
      </c>
      <c r="K27" s="200">
        <f>J27*C32</f>
        <v>1476.6000000000001</v>
      </c>
    </row>
    <row r="28" spans="1:13" s="155" customFormat="1" ht="15" customHeight="1" x14ac:dyDescent="0.2">
      <c r="A28" s="152" t="s">
        <v>135</v>
      </c>
      <c r="B28" s="152"/>
      <c r="C28" s="1">
        <v>100</v>
      </c>
      <c r="D28" s="150" t="s">
        <v>2</v>
      </c>
      <c r="E28" s="182"/>
      <c r="F28" s="197" t="str">
        <f>IF(A15="          supplemento lavoro notturno","supplemento lavoro notturno",IF(A15="          supplemento lavoro di sabato","di cui lavoro di sabato", IF(A15="          supplemento lavoro domenicale","supplemento lavoro domenicale","")))</f>
        <v>supplemento lavoro domenicale</v>
      </c>
      <c r="G28" s="201"/>
      <c r="H28" s="198"/>
      <c r="I28" s="198"/>
      <c r="J28" s="199">
        <f>IF(C14&gt;0,C15*C14,"")</f>
        <v>0</v>
      </c>
      <c r="K28" s="200">
        <f>IF(C14&gt;0,J28*C32,"")</f>
        <v>0</v>
      </c>
    </row>
    <row r="29" spans="1:13" s="155" customFormat="1" ht="15" customHeight="1" x14ac:dyDescent="0.2">
      <c r="A29" s="152" t="s">
        <v>136</v>
      </c>
      <c r="B29" s="152"/>
      <c r="C29" s="1">
        <v>0</v>
      </c>
      <c r="D29" s="150" t="s">
        <v>2</v>
      </c>
      <c r="E29" s="182"/>
      <c r="F29" s="197" t="s">
        <v>146</v>
      </c>
      <c r="G29" s="198"/>
      <c r="H29" s="198"/>
      <c r="I29" s="198"/>
      <c r="J29" s="199">
        <f>C20*(-1)</f>
        <v>-500</v>
      </c>
      <c r="K29" s="200">
        <f>J29*C32</f>
        <v>-492.20000000000005</v>
      </c>
    </row>
    <row r="30" spans="1:13" s="155" customFormat="1" ht="15" customHeight="1" x14ac:dyDescent="0.2">
      <c r="A30" s="202" t="str">
        <f>IF(AND(A14="          di cui lavoro notturno",C14&gt;0),"supplemento lavoro notturno",IF(AND(A14="          di cui lavoro di sabato",C14&gt;0),"supplemento lavoro di sabato",IF(AND(A14="          di cui lavoro domenicale",C14&gt;0),"supplemento lavoro domenicale","")))</f>
        <v>supplemento lavoro domenicale</v>
      </c>
      <c r="B30" s="203">
        <f>IF(A30="supplemento lavoro notturno",0.25,IF(A30="supplemento lavoro di sabato",0,IF(A30="supplemento lavoro domenicale",0.5,"")))</f>
        <v>0.5</v>
      </c>
      <c r="C30" s="204"/>
      <c r="D30" s="205" t="str">
        <f>IF(C14&gt;0,"%","")</f>
        <v>%</v>
      </c>
      <c r="E30" s="206"/>
      <c r="F30" s="197" t="s">
        <v>151</v>
      </c>
      <c r="G30" s="207"/>
      <c r="H30" s="198"/>
      <c r="I30" s="198"/>
      <c r="J30" s="199">
        <f>K30/C32</f>
        <v>-1219.0166598943517</v>
      </c>
      <c r="K30" s="200">
        <f>C33*C12*(-1)</f>
        <v>-1200</v>
      </c>
    </row>
    <row r="31" spans="1:13" s="155" customFormat="1" ht="15" customHeight="1" x14ac:dyDescent="0.2">
      <c r="A31" s="146"/>
      <c r="B31" s="146"/>
      <c r="C31" s="146"/>
      <c r="D31" s="205"/>
      <c r="E31" s="206"/>
      <c r="F31" s="197" t="s">
        <v>152</v>
      </c>
      <c r="G31" s="198"/>
      <c r="H31" s="198"/>
      <c r="I31" s="198"/>
      <c r="J31" s="199">
        <f>K31/C32</f>
        <v>-325.07110930516046</v>
      </c>
      <c r="K31" s="200">
        <f>C34*C11*(-1)</f>
        <v>-320</v>
      </c>
    </row>
    <row r="32" spans="1:13" s="155" customFormat="1" ht="15" customHeight="1" x14ac:dyDescent="0.2">
      <c r="A32" s="239" t="s">
        <v>167</v>
      </c>
      <c r="B32" s="185" t="s">
        <v>171</v>
      </c>
      <c r="C32" s="83">
        <v>0.98440000000000005</v>
      </c>
      <c r="D32" s="150" t="s">
        <v>19</v>
      </c>
      <c r="E32" s="206"/>
      <c r="F32" s="197" t="s">
        <v>153</v>
      </c>
      <c r="G32" s="198"/>
      <c r="H32" s="198"/>
      <c r="I32" s="198"/>
      <c r="J32" s="199">
        <f>K32/C32</f>
        <v>-60.950832994717594</v>
      </c>
      <c r="K32" s="200">
        <f>C35*(-1)</f>
        <v>-60</v>
      </c>
    </row>
    <row r="33" spans="1:14" s="155" customFormat="1" ht="15" customHeight="1" x14ac:dyDescent="0.2">
      <c r="A33" s="152" t="s">
        <v>151</v>
      </c>
      <c r="B33" s="152"/>
      <c r="C33" s="208">
        <v>150</v>
      </c>
      <c r="D33" s="150" t="s">
        <v>1</v>
      </c>
      <c r="E33" s="206"/>
      <c r="F33" s="197" t="s">
        <v>145</v>
      </c>
      <c r="G33" s="198"/>
      <c r="H33" s="198"/>
      <c r="I33" s="198"/>
      <c r="J33" s="199">
        <f>SUM(J26:J32)</f>
        <v>2044.9613978057705</v>
      </c>
      <c r="K33" s="200">
        <f>SUM(K26:K32)</f>
        <v>2013.0600000000004</v>
      </c>
    </row>
    <row r="34" spans="1:14" s="155" customFormat="1" ht="15" customHeight="1" x14ac:dyDescent="0.2">
      <c r="A34" s="152" t="s">
        <v>152</v>
      </c>
      <c r="B34" s="152"/>
      <c r="C34" s="208">
        <v>40</v>
      </c>
      <c r="D34" s="150" t="s">
        <v>1</v>
      </c>
      <c r="E34" s="206"/>
      <c r="F34" s="146"/>
      <c r="G34" s="146"/>
      <c r="H34" s="146"/>
      <c r="I34" s="146"/>
      <c r="J34" s="195"/>
      <c r="K34" s="195"/>
    </row>
    <row r="35" spans="1:14" s="155" customFormat="1" ht="15" customHeight="1" x14ac:dyDescent="0.2">
      <c r="A35" s="152" t="s">
        <v>153</v>
      </c>
      <c r="B35" s="152"/>
      <c r="C35" s="1">
        <v>60</v>
      </c>
      <c r="D35" s="150" t="s">
        <v>1</v>
      </c>
      <c r="E35" s="209"/>
      <c r="F35" s="146"/>
      <c r="G35" s="146"/>
      <c r="H35" s="146"/>
      <c r="I35" s="146"/>
      <c r="J35" s="195"/>
      <c r="K35" s="195"/>
    </row>
    <row r="36" spans="1:14" s="212" customFormat="1" ht="15.75" thickBot="1" x14ac:dyDescent="0.25">
      <c r="A36" s="146"/>
      <c r="B36" s="146"/>
      <c r="C36" s="146"/>
      <c r="D36" s="147"/>
      <c r="E36" s="209"/>
      <c r="F36" s="155"/>
      <c r="G36" s="147"/>
      <c r="H36" s="147"/>
      <c r="I36" s="147"/>
      <c r="J36" s="210" t="s">
        <v>21</v>
      </c>
      <c r="K36" s="211" t="s">
        <v>1</v>
      </c>
      <c r="L36" s="155"/>
      <c r="M36" s="155"/>
      <c r="N36" s="155"/>
    </row>
    <row r="37" spans="1:14" ht="15" customHeight="1" thickTop="1" x14ac:dyDescent="0.25">
      <c r="A37" s="146"/>
      <c r="B37" s="146"/>
      <c r="C37" s="146"/>
      <c r="D37" s="147"/>
      <c r="E37" s="209"/>
      <c r="F37" s="213" t="s">
        <v>32</v>
      </c>
      <c r="G37" s="198"/>
      <c r="H37" s="198"/>
      <c r="I37" s="198"/>
      <c r="J37" s="191">
        <f>J33-J23</f>
        <v>-380.79541511591424</v>
      </c>
      <c r="K37" s="192">
        <f>K33-K23</f>
        <v>-374.85500664010578</v>
      </c>
    </row>
    <row r="38" spans="1:14" ht="15" customHeight="1" x14ac:dyDescent="0.2">
      <c r="A38" s="146"/>
      <c r="B38" s="146"/>
      <c r="C38" s="146"/>
      <c r="D38" s="146"/>
      <c r="E38" s="209"/>
      <c r="F38" s="146"/>
      <c r="G38" s="146"/>
      <c r="H38" s="146"/>
      <c r="I38" s="146"/>
      <c r="J38" s="146"/>
      <c r="K38" s="146"/>
    </row>
    <row r="39" spans="1:14" ht="15" customHeight="1" x14ac:dyDescent="0.2">
      <c r="A39" s="146"/>
      <c r="B39" s="146"/>
      <c r="C39" s="146"/>
      <c r="D39" s="146"/>
      <c r="E39" s="209"/>
      <c r="F39" s="146"/>
      <c r="G39" s="146"/>
      <c r="H39" s="146"/>
      <c r="I39" s="146"/>
      <c r="J39" s="146"/>
      <c r="K39" s="146"/>
    </row>
    <row r="40" spans="1:14" x14ac:dyDescent="0.2">
      <c r="A40" s="146"/>
      <c r="B40" s="146"/>
      <c r="C40" s="146"/>
      <c r="D40" s="146"/>
      <c r="E40" s="147"/>
      <c r="F40" s="147"/>
      <c r="G40" s="147"/>
      <c r="H40" s="147"/>
      <c r="I40" s="147"/>
      <c r="J40" s="147"/>
      <c r="K40" s="147"/>
    </row>
    <row r="41" spans="1:14" x14ac:dyDescent="0.2">
      <c r="A41" s="146"/>
      <c r="B41" s="146"/>
      <c r="C41" s="146"/>
      <c r="D41" s="146"/>
      <c r="E41" s="147"/>
      <c r="F41" s="147"/>
      <c r="G41" s="147"/>
      <c r="H41" s="147"/>
      <c r="I41" s="147"/>
      <c r="J41" s="147"/>
      <c r="K41" s="147"/>
    </row>
    <row r="42" spans="1:14" ht="15.75" x14ac:dyDescent="0.25">
      <c r="A42" s="215" t="s">
        <v>26</v>
      </c>
      <c r="B42" s="216"/>
      <c r="C42" s="216"/>
      <c r="D42" s="216"/>
      <c r="E42" s="216"/>
      <c r="F42" s="216"/>
      <c r="G42" s="216"/>
      <c r="H42" s="216"/>
      <c r="I42" s="216"/>
      <c r="J42" s="216"/>
      <c r="K42" s="216"/>
    </row>
    <row r="43" spans="1:14" ht="66" customHeight="1" x14ac:dyDescent="0.2">
      <c r="A43" s="270" t="s">
        <v>154</v>
      </c>
      <c r="B43" s="270"/>
      <c r="C43" s="270"/>
      <c r="D43" s="270"/>
      <c r="E43" s="270"/>
      <c r="F43" s="270"/>
      <c r="G43" s="270"/>
      <c r="H43" s="270"/>
      <c r="I43" s="270"/>
      <c r="J43" s="270"/>
      <c r="K43" s="270"/>
    </row>
    <row r="44" spans="1:14" ht="18" customHeight="1" x14ac:dyDescent="0.2">
      <c r="A44" s="217"/>
      <c r="B44" s="217"/>
      <c r="C44" s="217"/>
      <c r="D44" s="217"/>
      <c r="E44" s="217"/>
      <c r="F44" s="217"/>
      <c r="G44" s="217"/>
      <c r="H44" s="217"/>
      <c r="I44" s="217"/>
      <c r="J44" s="217"/>
      <c r="K44" s="217"/>
    </row>
    <row r="45" spans="1:14" ht="66.599999999999994" customHeight="1" x14ac:dyDescent="0.2">
      <c r="A45" s="218" t="s">
        <v>155</v>
      </c>
      <c r="B45" s="258" t="s">
        <v>156</v>
      </c>
      <c r="C45" s="259"/>
      <c r="D45" s="259"/>
      <c r="E45" s="259"/>
      <c r="F45" s="259"/>
      <c r="G45" s="259"/>
      <c r="H45" s="259"/>
      <c r="I45" s="259"/>
      <c r="J45" s="259"/>
      <c r="K45" s="259"/>
    </row>
    <row r="46" spans="1:14" ht="187.35" customHeight="1" x14ac:dyDescent="0.2">
      <c r="A46" s="218" t="s">
        <v>157</v>
      </c>
      <c r="B46" s="258" t="s">
        <v>158</v>
      </c>
      <c r="C46" s="258"/>
      <c r="D46" s="258"/>
      <c r="E46" s="258"/>
      <c r="F46" s="258"/>
      <c r="G46" s="258"/>
      <c r="H46" s="258"/>
      <c r="I46" s="258"/>
      <c r="J46" s="258"/>
      <c r="K46" s="258"/>
    </row>
    <row r="47" spans="1:14" ht="49.7" customHeight="1" x14ac:dyDescent="0.2">
      <c r="A47" s="218" t="s">
        <v>153</v>
      </c>
      <c r="B47" s="260" t="s">
        <v>159</v>
      </c>
      <c r="C47" s="260"/>
      <c r="D47" s="260"/>
      <c r="E47" s="260"/>
      <c r="F47" s="260"/>
      <c r="G47" s="260"/>
      <c r="H47" s="260"/>
      <c r="I47" s="260"/>
      <c r="J47" s="260"/>
      <c r="K47" s="260"/>
    </row>
    <row r="48" spans="1:14" ht="33.6" customHeight="1" x14ac:dyDescent="0.2">
      <c r="A48" s="219"/>
      <c r="B48" s="261" t="s">
        <v>160</v>
      </c>
      <c r="C48" s="262"/>
      <c r="D48" s="262"/>
      <c r="E48" s="262"/>
      <c r="F48" s="262"/>
      <c r="G48" s="262"/>
      <c r="H48" s="262"/>
      <c r="I48" s="262"/>
      <c r="J48" s="262"/>
      <c r="K48" s="263"/>
    </row>
    <row r="49" spans="1:11" ht="34.35" customHeight="1" x14ac:dyDescent="0.2">
      <c r="A49" s="220" t="s">
        <v>161</v>
      </c>
      <c r="B49" s="258" t="s">
        <v>162</v>
      </c>
      <c r="C49" s="259"/>
      <c r="D49" s="259"/>
      <c r="E49" s="259"/>
      <c r="F49" s="259"/>
      <c r="G49" s="259"/>
      <c r="H49" s="259"/>
      <c r="I49" s="259"/>
      <c r="J49" s="259"/>
      <c r="K49" s="259"/>
    </row>
    <row r="50" spans="1:11" ht="30.6" customHeight="1" x14ac:dyDescent="0.2">
      <c r="A50" s="220" t="s">
        <v>163</v>
      </c>
      <c r="B50" s="258" t="s">
        <v>164</v>
      </c>
      <c r="C50" s="259"/>
      <c r="D50" s="259"/>
      <c r="E50" s="259"/>
      <c r="F50" s="259"/>
      <c r="G50" s="259"/>
      <c r="H50" s="259"/>
      <c r="I50" s="259"/>
      <c r="J50" s="259"/>
      <c r="K50" s="259"/>
    </row>
    <row r="51" spans="1:11" ht="31.35" customHeight="1" x14ac:dyDescent="0.2">
      <c r="A51" s="220" t="s">
        <v>165</v>
      </c>
      <c r="B51" s="258" t="s">
        <v>166</v>
      </c>
      <c r="C51" s="259"/>
      <c r="D51" s="259"/>
      <c r="E51" s="259"/>
      <c r="F51" s="259"/>
      <c r="G51" s="259"/>
      <c r="H51" s="259"/>
      <c r="I51" s="259"/>
      <c r="J51" s="259"/>
      <c r="K51" s="259"/>
    </row>
  </sheetData>
  <sheetProtection password="C915" sheet="1" objects="1" scenarios="1"/>
  <mergeCells count="13">
    <mergeCell ref="F1:G1"/>
    <mergeCell ref="G7:H7"/>
    <mergeCell ref="G19:H19"/>
    <mergeCell ref="I19:I20"/>
    <mergeCell ref="J19:K19"/>
    <mergeCell ref="A43:K43"/>
    <mergeCell ref="B51:K51"/>
    <mergeCell ref="B45:K45"/>
    <mergeCell ref="B46:K46"/>
    <mergeCell ref="B47:K47"/>
    <mergeCell ref="B48:K48"/>
    <mergeCell ref="B49:K49"/>
    <mergeCell ref="B50:K50"/>
  </mergeCells>
  <conditionalFormatting sqref="C30 C15">
    <cfRule type="expression" dxfId="3" priority="4" stopIfTrue="1">
      <formula>$C$14&gt;0</formula>
    </cfRule>
  </conditionalFormatting>
  <conditionalFormatting sqref="C30 C15">
    <cfRule type="expression" dxfId="2" priority="3" stopIfTrue="1">
      <formula>$C$14&gt;0</formula>
    </cfRule>
  </conditionalFormatting>
  <conditionalFormatting sqref="B32">
    <cfRule type="expression" dxfId="1" priority="2" stopIfTrue="1">
      <formula>$C$14&gt;0</formula>
    </cfRule>
  </conditionalFormatting>
  <conditionalFormatting sqref="B32">
    <cfRule type="expression" dxfId="0" priority="1" stopIfTrue="1">
      <formula>$C$14&gt;0</formula>
    </cfRule>
  </conditionalFormatting>
  <dataValidations count="4">
    <dataValidation allowBlank="1" showDropDown="1" showInputMessage="1" showErrorMessage="1" sqref="D20 D35"/>
    <dataValidation type="list" allowBlank="1" showInputMessage="1" showErrorMessage="1" sqref="D18">
      <formula1>$L$20:$L$21</formula1>
    </dataValidation>
    <dataValidation type="list" allowBlank="1" showInputMessage="1" showErrorMessage="1" sqref="D10">
      <formula1>$L$10:$L$11</formula1>
    </dataValidation>
    <dataValidation type="list" allowBlank="1" showInputMessage="1" showErrorMessage="1" sqref="A14">
      <formula1>$L$7:$L$9</formula1>
    </dataValidation>
  </dataValidations>
  <hyperlinks>
    <hyperlink ref="A32" r:id="rId1"/>
    <hyperlink ref="A17" r:id="rId2"/>
  </hyperlinks>
  <pageMargins left="0.7" right="0.7" top="0.78740157499999996" bottom="0.78740157499999996" header="0.3" footer="0.3"/>
  <pageSetup paperSize="9" scale="43" orientation="portrait" horizontalDpi="300" verticalDpi="300"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72"/>
  <sheetViews>
    <sheetView zoomScaleNormal="100" zoomScalePageLayoutView="150" workbookViewId="0"/>
  </sheetViews>
  <sheetFormatPr baseColWidth="10" defaultRowHeight="12.75" x14ac:dyDescent="0.2"/>
  <cols>
    <col min="1" max="1" width="139.5703125" style="106" customWidth="1"/>
    <col min="2" max="2" width="6.5703125" style="106" customWidth="1"/>
    <col min="3" max="3" width="11.42578125" style="106"/>
    <col min="4" max="4" width="26.42578125" style="106" customWidth="1"/>
    <col min="5" max="16384" width="11.42578125" style="106"/>
  </cols>
  <sheetData>
    <row r="1" spans="1:1" x14ac:dyDescent="0.2">
      <c r="A1" s="105"/>
    </row>
    <row r="2" spans="1:1" x14ac:dyDescent="0.2">
      <c r="A2" s="234" t="s">
        <v>73</v>
      </c>
    </row>
    <row r="3" spans="1:1" x14ac:dyDescent="0.2">
      <c r="A3" s="107"/>
    </row>
    <row r="4" spans="1:1" ht="21" customHeight="1" x14ac:dyDescent="0.25">
      <c r="A4" s="108" t="s">
        <v>76</v>
      </c>
    </row>
    <row r="5" spans="1:1" ht="98.45" customHeight="1" x14ac:dyDescent="0.2">
      <c r="A5" s="109" t="s">
        <v>75</v>
      </c>
    </row>
    <row r="6" spans="1:1" x14ac:dyDescent="0.2">
      <c r="A6" s="105"/>
    </row>
    <row r="7" spans="1:1" ht="15" x14ac:dyDescent="0.25">
      <c r="A7" s="108" t="s">
        <v>77</v>
      </c>
    </row>
    <row r="8" spans="1:1" ht="60.75" customHeight="1" x14ac:dyDescent="0.2">
      <c r="A8" s="109" t="s">
        <v>78</v>
      </c>
    </row>
    <row r="9" spans="1:1" ht="69.95" customHeight="1" x14ac:dyDescent="0.2">
      <c r="A9" s="109" t="s">
        <v>79</v>
      </c>
    </row>
    <row r="10" spans="1:1" x14ac:dyDescent="0.2">
      <c r="A10"/>
    </row>
    <row r="11" spans="1:1" x14ac:dyDescent="0.2">
      <c r="A11" s="105"/>
    </row>
    <row r="12" spans="1:1" x14ac:dyDescent="0.2">
      <c r="A12" s="105"/>
    </row>
    <row r="13" spans="1:1" x14ac:dyDescent="0.2">
      <c r="A13" s="105"/>
    </row>
    <row r="14" spans="1:1" x14ac:dyDescent="0.2">
      <c r="A14" s="105"/>
    </row>
    <row r="15" spans="1:1" x14ac:dyDescent="0.2">
      <c r="A15" s="105"/>
    </row>
    <row r="16" spans="1:1" x14ac:dyDescent="0.2">
      <c r="A16" s="105"/>
    </row>
    <row r="17" spans="1:1" ht="50.45" customHeight="1" x14ac:dyDescent="0.2">
      <c r="A17" s="109" t="s">
        <v>80</v>
      </c>
    </row>
    <row r="18" spans="1:1" x14ac:dyDescent="0.2">
      <c r="A18" s="105"/>
    </row>
    <row r="19" spans="1:1" ht="15" x14ac:dyDescent="0.25">
      <c r="A19" s="108" t="s">
        <v>81</v>
      </c>
    </row>
    <row r="20" spans="1:1" ht="51.6" customHeight="1" x14ac:dyDescent="0.2">
      <c r="A20" s="109" t="s">
        <v>170</v>
      </c>
    </row>
    <row r="21" spans="1:1" ht="40.5" customHeight="1" x14ac:dyDescent="0.2">
      <c r="A21" s="109" t="s">
        <v>169</v>
      </c>
    </row>
    <row r="22" spans="1:1" x14ac:dyDescent="0.2">
      <c r="A22" s="110"/>
    </row>
    <row r="23" spans="1:1" ht="15" x14ac:dyDescent="0.25">
      <c r="A23" s="108" t="s">
        <v>82</v>
      </c>
    </row>
    <row r="24" spans="1:1" ht="6.95" customHeight="1" x14ac:dyDescent="0.2">
      <c r="A24" s="105"/>
    </row>
    <row r="25" spans="1:1" ht="75" customHeight="1" x14ac:dyDescent="0.2">
      <c r="A25" s="109" t="s">
        <v>83</v>
      </c>
    </row>
    <row r="26" spans="1:1" x14ac:dyDescent="0.2">
      <c r="A26" s="105"/>
    </row>
    <row r="27" spans="1:1" ht="71.25" x14ac:dyDescent="0.2">
      <c r="A27" s="111" t="s">
        <v>84</v>
      </c>
    </row>
    <row r="28" spans="1:1" ht="45" customHeight="1" x14ac:dyDescent="0.2">
      <c r="A28" s="109" t="s">
        <v>85</v>
      </c>
    </row>
    <row r="29" spans="1:1" ht="91.5" customHeight="1" x14ac:dyDescent="0.2">
      <c r="A29" s="119" t="s">
        <v>122</v>
      </c>
    </row>
    <row r="30" spans="1:1" ht="81.599999999999994" customHeight="1" x14ac:dyDescent="0.2">
      <c r="A30" s="109" t="s">
        <v>86</v>
      </c>
    </row>
    <row r="32" spans="1:1" ht="15" x14ac:dyDescent="0.25">
      <c r="A32" s="108" t="s">
        <v>87</v>
      </c>
    </row>
    <row r="33" spans="1:1" ht="78.95" customHeight="1" x14ac:dyDescent="0.2">
      <c r="A33" s="109" t="s">
        <v>88</v>
      </c>
    </row>
    <row r="34" spans="1:1" ht="13.5" customHeight="1" x14ac:dyDescent="0.2">
      <c r="A34" s="109"/>
    </row>
    <row r="35" spans="1:1" ht="22.5" customHeight="1" x14ac:dyDescent="0.25">
      <c r="A35" s="108" t="s">
        <v>89</v>
      </c>
    </row>
    <row r="36" spans="1:1" ht="69" customHeight="1" x14ac:dyDescent="0.2">
      <c r="A36" s="109" t="s">
        <v>90</v>
      </c>
    </row>
    <row r="37" spans="1:1" ht="35.25" customHeight="1" x14ac:dyDescent="0.2">
      <c r="A37" s="109" t="s">
        <v>91</v>
      </c>
    </row>
    <row r="38" spans="1:1" ht="37.5" customHeight="1" x14ac:dyDescent="0.2">
      <c r="A38" s="109" t="s">
        <v>92</v>
      </c>
    </row>
    <row r="40" spans="1:1" ht="15" x14ac:dyDescent="0.25">
      <c r="A40" s="108" t="s">
        <v>93</v>
      </c>
    </row>
    <row r="41" spans="1:1" ht="71.45" customHeight="1" x14ac:dyDescent="0.2">
      <c r="A41" s="109" t="s">
        <v>94</v>
      </c>
    </row>
    <row r="42" spans="1:1" ht="33.75" customHeight="1" x14ac:dyDescent="0.2">
      <c r="A42" s="109" t="s">
        <v>95</v>
      </c>
    </row>
    <row r="44" spans="1:1" ht="150.75" customHeight="1" x14ac:dyDescent="0.2">
      <c r="A44" s="112" t="s">
        <v>96</v>
      </c>
    </row>
    <row r="46" spans="1:1" ht="71.25" x14ac:dyDescent="0.2">
      <c r="A46" s="109" t="s">
        <v>97</v>
      </c>
    </row>
    <row r="48" spans="1:1" ht="59.45" customHeight="1" x14ac:dyDescent="0.2">
      <c r="A48" s="109" t="s">
        <v>98</v>
      </c>
    </row>
    <row r="49" spans="1:1" x14ac:dyDescent="0.2">
      <c r="A49" s="105"/>
    </row>
    <row r="50" spans="1:1" ht="81.599999999999994" customHeight="1" x14ac:dyDescent="0.2">
      <c r="A50" s="113" t="s">
        <v>99</v>
      </c>
    </row>
    <row r="51" spans="1:1" x14ac:dyDescent="0.2">
      <c r="A51" s="105"/>
    </row>
    <row r="52" spans="1:1" ht="28.5" x14ac:dyDescent="0.2">
      <c r="A52" s="114" t="s">
        <v>100</v>
      </c>
    </row>
    <row r="53" spans="1:1" x14ac:dyDescent="0.2">
      <c r="A53" s="105"/>
    </row>
    <row r="54" spans="1:1" ht="15" x14ac:dyDescent="0.25">
      <c r="A54" s="108" t="s">
        <v>101</v>
      </c>
    </row>
    <row r="55" spans="1:1" ht="78" customHeight="1" x14ac:dyDescent="0.2">
      <c r="A55" s="109" t="s">
        <v>102</v>
      </c>
    </row>
    <row r="56" spans="1:1" ht="53.45" customHeight="1" x14ac:dyDescent="0.2">
      <c r="A56" s="109" t="s">
        <v>103</v>
      </c>
    </row>
    <row r="57" spans="1:1" ht="66" customHeight="1" x14ac:dyDescent="0.2">
      <c r="A57" s="109" t="s">
        <v>104</v>
      </c>
    </row>
    <row r="59" spans="1:1" ht="15" x14ac:dyDescent="0.25">
      <c r="A59" s="108" t="s">
        <v>105</v>
      </c>
    </row>
    <row r="60" spans="1:1" ht="69.599999999999994" customHeight="1" x14ac:dyDescent="0.2">
      <c r="A60" s="109" t="s">
        <v>106</v>
      </c>
    </row>
    <row r="61" spans="1:1" ht="68.099999999999994" customHeight="1" x14ac:dyDescent="0.2">
      <c r="A61" s="109" t="s">
        <v>107</v>
      </c>
    </row>
    <row r="62" spans="1:1" x14ac:dyDescent="0.2">
      <c r="A62" s="105"/>
    </row>
    <row r="63" spans="1:1" ht="45.6" customHeight="1" x14ac:dyDescent="0.2">
      <c r="A63" s="114" t="s">
        <v>108</v>
      </c>
    </row>
    <row r="65" spans="1:1" ht="30" x14ac:dyDescent="0.25">
      <c r="A65" s="115" t="s">
        <v>109</v>
      </c>
    </row>
    <row r="66" spans="1:1" ht="108.6" customHeight="1" x14ac:dyDescent="0.2">
      <c r="A66" s="116" t="s">
        <v>110</v>
      </c>
    </row>
    <row r="67" spans="1:1" ht="14.1" customHeight="1" x14ac:dyDescent="0.25">
      <c r="A67" s="115" t="s">
        <v>111</v>
      </c>
    </row>
    <row r="68" spans="1:1" ht="89.1" customHeight="1" x14ac:dyDescent="0.2">
      <c r="A68" s="117" t="s">
        <v>112</v>
      </c>
    </row>
    <row r="69" spans="1:1" ht="52.5" customHeight="1" x14ac:dyDescent="0.2">
      <c r="A69" s="117" t="s">
        <v>113</v>
      </c>
    </row>
    <row r="70" spans="1:1" ht="96.95" customHeight="1" x14ac:dyDescent="0.2">
      <c r="A70" s="118" t="s">
        <v>114</v>
      </c>
    </row>
    <row r="71" spans="1:1" ht="21.75" customHeight="1" x14ac:dyDescent="0.25">
      <c r="A71" s="115" t="s">
        <v>115</v>
      </c>
    </row>
    <row r="72" spans="1:1" ht="105" customHeight="1" x14ac:dyDescent="0.2">
      <c r="A72" s="116" t="s">
        <v>173</v>
      </c>
    </row>
  </sheetData>
  <sheetProtection password="C915" sheet="1" objects="1" scenarios="1"/>
  <hyperlinks>
    <hyperlink ref="A2" r:id="rId1"/>
  </hyperlinks>
  <pageMargins left="0.7" right="0.7" top="0.78740157499999996" bottom="0.78740157499999996" header="0.3" footer="0.3"/>
  <pageSetup paperSize="9" orientation="portrait" r:id="rId2"/>
  <rowBreaks count="2" manualBreakCount="2">
    <brk id="22" max="16383" man="1"/>
    <brk id="34" max="16383" man="1"/>
  </rowBreaks>
  <drawing r:id="rId3"/>
  <legacyDrawing r:id="rId4"/>
  <oleObjects>
    <mc:AlternateContent xmlns:mc="http://schemas.openxmlformats.org/markup-compatibility/2006">
      <mc:Choice Requires="x14">
        <oleObject progId="Equation.3" shapeId="13314" r:id="rId5">
          <objectPr defaultSize="0" autoPict="0" r:id="rId6">
            <anchor moveWithCells="1" sizeWithCells="1">
              <from>
                <xdr:col>0</xdr:col>
                <xdr:colOff>3562350</xdr:colOff>
                <xdr:row>45</xdr:row>
                <xdr:rowOff>704850</xdr:rowOff>
              </from>
              <to>
                <xdr:col>0</xdr:col>
                <xdr:colOff>4848225</xdr:colOff>
                <xdr:row>46</xdr:row>
                <xdr:rowOff>0</xdr:rowOff>
              </to>
            </anchor>
          </objectPr>
        </oleObject>
      </mc:Choice>
      <mc:Fallback>
        <oleObject progId="Equation.3" shapeId="13314" r:id="rId5"/>
      </mc:Fallback>
    </mc:AlternateContent>
    <mc:AlternateContent xmlns:mc="http://schemas.openxmlformats.org/markup-compatibility/2006">
      <mc:Choice Requires="x14">
        <oleObject progId="Equation.3" shapeId="13315" r:id="rId7">
          <objectPr defaultSize="0" autoPict="0" r:id="rId8">
            <anchor moveWithCells="1" sizeWithCells="1">
              <from>
                <xdr:col>0</xdr:col>
                <xdr:colOff>2295525</xdr:colOff>
                <xdr:row>9</xdr:row>
                <xdr:rowOff>114300</xdr:rowOff>
              </from>
              <to>
                <xdr:col>0</xdr:col>
                <xdr:colOff>4210050</xdr:colOff>
                <xdr:row>16</xdr:row>
                <xdr:rowOff>0</xdr:rowOff>
              </to>
            </anchor>
          </objectPr>
        </oleObject>
      </mc:Choice>
      <mc:Fallback>
        <oleObject progId="Equation.3" shapeId="13315" r:id="rId7"/>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6</vt:i4>
      </vt:variant>
    </vt:vector>
  </HeadingPairs>
  <TitlesOfParts>
    <vt:vector size="10" baseType="lpstr">
      <vt:lpstr>Tabella di calcolo</vt:lpstr>
      <vt:lpstr>Tabella di calcolo (Esempio)</vt:lpstr>
      <vt:lpstr>TC pseudo-indipendenza</vt:lpstr>
      <vt:lpstr>SECO Direttiva</vt:lpstr>
      <vt:lpstr>'SECO Direttiva'!_Toc373740136</vt:lpstr>
      <vt:lpstr>'Tabella di calcolo'!Druckbereich</vt:lpstr>
      <vt:lpstr>'Tabella di calcolo (Esempio)'!Druckbereich</vt:lpstr>
      <vt:lpstr>'TC pseudo-indipendenza'!Druckbereich</vt:lpstr>
      <vt:lpstr>'Tabella di calcolo'!Drucktitel</vt:lpstr>
      <vt:lpstr>'Tabella di calcolo (Esempio)'!Drucktitel</vt:lpstr>
    </vt:vector>
  </TitlesOfParts>
  <Company>EVD / SECO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Wegmüller Claudio SECO</dc:creator>
  <cp:lastModifiedBy>Rubin Barbara SECO</cp:lastModifiedBy>
  <cp:lastPrinted>2014-02-03T13:26:47Z</cp:lastPrinted>
  <dcterms:created xsi:type="dcterms:W3CDTF">2004-02-02T08:03:25Z</dcterms:created>
  <dcterms:modified xsi:type="dcterms:W3CDTF">2023-07-10T11:41:49Z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COO.2101.104.3.3905879</vt:lpwstr>
  </property>
  <property fmtid="{D5CDD505-2E9C-101B-9397-08002B2CF9AE}" pid="3" name="FSC#COOELAK@1.1001:Subject">
    <vt:lpwstr/>
  </property>
  <property fmtid="{D5CDD505-2E9C-101B-9397-08002B2CF9AE}" pid="4" name="FSC#COOELAK@1.1001:FileReference">
    <vt:lpwstr>621.161-00004</vt:lpwstr>
  </property>
  <property fmtid="{D5CDD505-2E9C-101B-9397-08002B2CF9AE}" pid="5" name="FSC#COOELAK@1.1001:FileRefYear">
    <vt:lpwstr>2018</vt:lpwstr>
  </property>
  <property fmtid="{D5CDD505-2E9C-101B-9397-08002B2CF9AE}" pid="6" name="FSC#COOELAK@1.1001:FileRefOrdinal">
    <vt:lpwstr>4</vt:lpwstr>
  </property>
  <property fmtid="{D5CDD505-2E9C-101B-9397-08002B2CF9AE}" pid="7" name="FSC#COOELAK@1.1001:FileRefOU">
    <vt:lpwstr>SECO-PAAM</vt:lpwstr>
  </property>
  <property fmtid="{D5CDD505-2E9C-101B-9397-08002B2CF9AE}" pid="8" name="FSC#COOELAK@1.1001:Organization">
    <vt:lpwstr/>
  </property>
  <property fmtid="{D5CDD505-2E9C-101B-9397-08002B2CF9AE}" pid="9" name="FSC#COOELAK@1.1001:Owner">
    <vt:lpwstr>Scherrer Ursula, SECO</vt:lpwstr>
  </property>
  <property fmtid="{D5CDD505-2E9C-101B-9397-08002B2CF9AE}" pid="10" name="FSC#COOELAK@1.1001:OwnerExtension">
    <vt:lpwstr>+41 58 463 53 02</vt:lpwstr>
  </property>
  <property fmtid="{D5CDD505-2E9C-101B-9397-08002B2CF9AE}" pid="11" name="FSC#COOELAK@1.1001:OwnerFaxExtension">
    <vt:lpwstr>+41 58 463 18 94</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Arbeitsmarktaufsicht (SECO-PAAM)</vt:lpwstr>
  </property>
  <property fmtid="{D5CDD505-2E9C-101B-9397-08002B2CF9AE}" pid="17" name="FSC#COOELAK@1.1001:CreatedAt">
    <vt:lpwstr>23.03.2020</vt:lpwstr>
  </property>
  <property fmtid="{D5CDD505-2E9C-101B-9397-08002B2CF9AE}" pid="18" name="FSC#COOELAK@1.1001:OU">
    <vt:lpwstr>Arbeitsmarktaufsicht (SECO-PAAM)</vt:lpwstr>
  </property>
  <property fmtid="{D5CDD505-2E9C-101B-9397-08002B2CF9AE}" pid="19" name="FSC#COOELAK@1.1001:Priority">
    <vt:lpwstr> ()</vt:lpwstr>
  </property>
  <property fmtid="{D5CDD505-2E9C-101B-9397-08002B2CF9AE}" pid="20" name="FSC#COOELAK@1.1001:ObjBarCode">
    <vt:lpwstr>*COO.2101.104.3.3905879*</vt:lpwstr>
  </property>
  <property fmtid="{D5CDD505-2E9C-101B-9397-08002B2CF9AE}" pid="21" name="FSC#COOELAK@1.1001:RefBarCode">
    <vt:lpwstr>*COO.2101.104.2.3905880*</vt:lpwstr>
  </property>
  <property fmtid="{D5CDD505-2E9C-101B-9397-08002B2CF9AE}" pid="22" name="FSC#COOELAK@1.1001:FileRefBarCode">
    <vt:lpwstr>*621.161-00004*</vt:lpwstr>
  </property>
  <property fmtid="{D5CDD505-2E9C-101B-9397-08002B2CF9AE}" pid="23" name="FSC#COOELAK@1.1001:ExternalRef">
    <vt:lpwstr/>
  </property>
  <property fmtid="{D5CDD505-2E9C-101B-9397-08002B2CF9AE}" pid="24" name="FSC#EVDCFG@15.1400:Dossierref">
    <vt:lpwstr>621.161-00004</vt:lpwstr>
  </property>
  <property fmtid="{D5CDD505-2E9C-101B-9397-08002B2CF9AE}" pid="25" name="FSC#EVDCFG@15.1400:FileRespEmail">
    <vt:lpwstr/>
  </property>
  <property fmtid="{D5CDD505-2E9C-101B-9397-08002B2CF9AE}" pid="26" name="FSC#EVDCFG@15.1400:FileRespFax">
    <vt:lpwstr/>
  </property>
  <property fmtid="{D5CDD505-2E9C-101B-9397-08002B2CF9AE}" pid="27" name="FSC#EVDCFG@15.1400:FileRespHome">
    <vt:lpwstr/>
  </property>
  <property fmtid="{D5CDD505-2E9C-101B-9397-08002B2CF9AE}" pid="28" name="FSC#EVDCFG@15.1400:FileResponsible">
    <vt:lpwstr/>
  </property>
  <property fmtid="{D5CDD505-2E9C-101B-9397-08002B2CF9AE}" pid="29" name="FSC#EVDCFG@15.1400:FileRespOrg">
    <vt:lpwstr/>
  </property>
  <property fmtid="{D5CDD505-2E9C-101B-9397-08002B2CF9AE}" pid="30" name="FSC#EVDCFG@15.1400:FileRespOrgHome">
    <vt:lpwstr/>
  </property>
  <property fmtid="{D5CDD505-2E9C-101B-9397-08002B2CF9AE}" pid="31" name="FSC#EVDCFG@15.1400:FileRespOrgStreet">
    <vt:lpwstr/>
  </property>
  <property fmtid="{D5CDD505-2E9C-101B-9397-08002B2CF9AE}" pid="32" name="FSC#EVDCFG@15.1400:FileRespOrgZipCode">
    <vt:lpwstr/>
  </property>
  <property fmtid="{D5CDD505-2E9C-101B-9397-08002B2CF9AE}" pid="33" name="FSC#EVDCFG@15.1400:FileRespshortsign">
    <vt:lpwstr/>
  </property>
  <property fmtid="{D5CDD505-2E9C-101B-9397-08002B2CF9AE}" pid="34" name="FSC#EVDCFG@15.1400:FileRespStreet">
    <vt:lpwstr/>
  </property>
  <property fmtid="{D5CDD505-2E9C-101B-9397-08002B2CF9AE}" pid="35" name="FSC#EVDCFG@15.1400:FileRespTel">
    <vt:lpwstr/>
  </property>
  <property fmtid="{D5CDD505-2E9C-101B-9397-08002B2CF9AE}" pid="36" name="FSC#EVDCFG@15.1400:FileRespZipCode">
    <vt:lpwstr/>
  </property>
  <property fmtid="{D5CDD505-2E9C-101B-9397-08002B2CF9AE}" pid="37" name="FSC#EVDCFG@15.1400:OutAttachElectr">
    <vt:lpwstr/>
  </property>
  <property fmtid="{D5CDD505-2E9C-101B-9397-08002B2CF9AE}" pid="38" name="FSC#EVDCFG@15.1400:OutAttachPhysic">
    <vt:lpwstr/>
  </property>
  <property fmtid="{D5CDD505-2E9C-101B-9397-08002B2CF9AE}" pid="39" name="FSC#EVDCFG@15.1400:SignAcceptedDraft1">
    <vt:lpwstr/>
  </property>
  <property fmtid="{D5CDD505-2E9C-101B-9397-08002B2CF9AE}" pid="40" name="FSC#EVDCFG@15.1400:SignAcceptedDraft1FR">
    <vt:lpwstr/>
  </property>
  <property fmtid="{D5CDD505-2E9C-101B-9397-08002B2CF9AE}" pid="41" name="FSC#EVDCFG@15.1400:SignAcceptedDraft2">
    <vt:lpwstr/>
  </property>
  <property fmtid="{D5CDD505-2E9C-101B-9397-08002B2CF9AE}" pid="42" name="FSC#EVDCFG@15.1400:SignAcceptedDraft2FR">
    <vt:lpwstr/>
  </property>
  <property fmtid="{D5CDD505-2E9C-101B-9397-08002B2CF9AE}" pid="43" name="FSC#EVDCFG@15.1400:SignApproved1">
    <vt:lpwstr/>
  </property>
  <property fmtid="{D5CDD505-2E9C-101B-9397-08002B2CF9AE}" pid="44" name="FSC#EVDCFG@15.1400:SignApproved1FR">
    <vt:lpwstr/>
  </property>
  <property fmtid="{D5CDD505-2E9C-101B-9397-08002B2CF9AE}" pid="45" name="FSC#EVDCFG@15.1400:SignApproved2">
    <vt:lpwstr/>
  </property>
  <property fmtid="{D5CDD505-2E9C-101B-9397-08002B2CF9AE}" pid="46" name="FSC#EVDCFG@15.1400:SignApproved2FR">
    <vt:lpwstr/>
  </property>
  <property fmtid="{D5CDD505-2E9C-101B-9397-08002B2CF9AE}" pid="47" name="FSC#EVDCFG@15.1400:SubDossierBarCode">
    <vt:lpwstr/>
  </property>
  <property fmtid="{D5CDD505-2E9C-101B-9397-08002B2CF9AE}" pid="48" name="FSC#EVDCFG@15.1400:Subject">
    <vt:lpwstr/>
  </property>
  <property fmtid="{D5CDD505-2E9C-101B-9397-08002B2CF9AE}" pid="49" name="FSC#EVDCFG@15.1400:Title">
    <vt:lpwstr>Tabella di calcolo per il confronto internazionale dei salari_23_03_2020</vt:lpwstr>
  </property>
  <property fmtid="{D5CDD505-2E9C-101B-9397-08002B2CF9AE}" pid="50" name="FSC#EVDCFG@15.1400:UserFunction">
    <vt:lpwstr/>
  </property>
  <property fmtid="{D5CDD505-2E9C-101B-9397-08002B2CF9AE}" pid="51" name="FSC#EVDCFG@15.1400:SalutationEnglish">
    <vt:lpwstr>Free Movement of Persons and Labour Relations_x000d_
Supervision of the labour market</vt:lpwstr>
  </property>
  <property fmtid="{D5CDD505-2E9C-101B-9397-08002B2CF9AE}" pid="52" name="FSC#EVDCFG@15.1400:SalutationFrench">
    <vt:lpwstr>Libre circulation des personnes et Relations du travail_x000d_
Surveillance du marché du travail</vt:lpwstr>
  </property>
  <property fmtid="{D5CDD505-2E9C-101B-9397-08002B2CF9AE}" pid="53" name="FSC#EVDCFG@15.1400:SalutationGerman">
    <vt:lpwstr>Personenfreizügigkeit und Arbeitsbeziehungen_x000d_
Arbeitsmarktaufsicht</vt:lpwstr>
  </property>
  <property fmtid="{D5CDD505-2E9C-101B-9397-08002B2CF9AE}" pid="54" name="FSC#EVDCFG@15.1400:SalutationItalian">
    <vt:lpwstr>Libera circolazione delle persone e Relazioni di lavoro_x000d_
Sorveglianza del mercato di lavoro</vt:lpwstr>
  </property>
  <property fmtid="{D5CDD505-2E9C-101B-9397-08002B2CF9AE}" pid="55" name="FSC#EVDCFG@15.1400:SalutationEnglishUser">
    <vt:lpwstr/>
  </property>
  <property fmtid="{D5CDD505-2E9C-101B-9397-08002B2CF9AE}" pid="56" name="FSC#EVDCFG@15.1400:SalutationFrenchUser">
    <vt:lpwstr/>
  </property>
  <property fmtid="{D5CDD505-2E9C-101B-9397-08002B2CF9AE}" pid="57" name="FSC#EVDCFG@15.1400:SalutationGermanUser">
    <vt:lpwstr/>
  </property>
  <property fmtid="{D5CDD505-2E9C-101B-9397-08002B2CF9AE}" pid="58" name="FSC#EVDCFG@15.1400:SalutationItalianUser">
    <vt:lpwstr/>
  </property>
  <property fmtid="{D5CDD505-2E9C-101B-9397-08002B2CF9AE}" pid="59" name="FSC#EVDCFG@15.1400:PositionNumber">
    <vt:lpwstr/>
  </property>
  <property fmtid="{D5CDD505-2E9C-101B-9397-08002B2CF9AE}" pid="60" name="FSC#COOELAK@1.1001:IncomingNumber">
    <vt:lpwstr/>
  </property>
  <property fmtid="{D5CDD505-2E9C-101B-9397-08002B2CF9AE}" pid="61" name="FSC#COOELAK@1.1001:IncomingSubject">
    <vt:lpwstr/>
  </property>
  <property fmtid="{D5CDD505-2E9C-101B-9397-08002B2CF9AE}" pid="62" name="FSC#COOELAK@1.1001:ProcessResponsible">
    <vt:lpwstr/>
  </property>
  <property fmtid="{D5CDD505-2E9C-101B-9397-08002B2CF9AE}" pid="63" name="FSC#COOELAK@1.1001:ProcessResponsiblePhone">
    <vt:lpwstr/>
  </property>
  <property fmtid="{D5CDD505-2E9C-101B-9397-08002B2CF9AE}" pid="64" name="FSC#COOELAK@1.1001:ProcessResponsibleMail">
    <vt:lpwstr/>
  </property>
  <property fmtid="{D5CDD505-2E9C-101B-9397-08002B2CF9AE}" pid="65" name="FSC#COOELAK@1.1001:ProcessResponsibleFax">
    <vt:lpwstr/>
  </property>
  <property fmtid="{D5CDD505-2E9C-101B-9397-08002B2CF9AE}" pid="66" name="FSC#COOELAK@1.1001:ApproverFirstName">
    <vt:lpwstr/>
  </property>
  <property fmtid="{D5CDD505-2E9C-101B-9397-08002B2CF9AE}" pid="67" name="FSC#COOELAK@1.1001:ApproverSurName">
    <vt:lpwstr/>
  </property>
  <property fmtid="{D5CDD505-2E9C-101B-9397-08002B2CF9AE}" pid="68" name="FSC#COOELAK@1.1001:ApproverTitle">
    <vt:lpwstr/>
  </property>
  <property fmtid="{D5CDD505-2E9C-101B-9397-08002B2CF9AE}" pid="69" name="FSC#COOELAK@1.1001:ExternalDate">
    <vt:lpwstr/>
  </property>
  <property fmtid="{D5CDD505-2E9C-101B-9397-08002B2CF9AE}" pid="70" name="FSC#COOELAK@1.1001:SettlementApprovedAt">
    <vt:lpwstr/>
  </property>
  <property fmtid="{D5CDD505-2E9C-101B-9397-08002B2CF9AE}" pid="71" name="FSC#COOELAK@1.1001:BaseNumber">
    <vt:lpwstr>621.161</vt:lpwstr>
  </property>
  <property fmtid="{D5CDD505-2E9C-101B-9397-08002B2CF9AE}" pid="72" name="FSC#ELAKGOV@1.1001:PersonalSubjGender">
    <vt:lpwstr/>
  </property>
  <property fmtid="{D5CDD505-2E9C-101B-9397-08002B2CF9AE}" pid="73" name="FSC#ELAKGOV@1.1001:PersonalSubjFirstName">
    <vt:lpwstr/>
  </property>
  <property fmtid="{D5CDD505-2E9C-101B-9397-08002B2CF9AE}" pid="74" name="FSC#ELAKGOV@1.1001:PersonalSubjSurName">
    <vt:lpwstr/>
  </property>
  <property fmtid="{D5CDD505-2E9C-101B-9397-08002B2CF9AE}" pid="75" name="FSC#ELAKGOV@1.1001:PersonalSubjSalutation">
    <vt:lpwstr/>
  </property>
  <property fmtid="{D5CDD505-2E9C-101B-9397-08002B2CF9AE}" pid="76" name="FSC#ELAKGOV@1.1001:PersonalSubjAddress">
    <vt:lpwstr/>
  </property>
  <property fmtid="{D5CDD505-2E9C-101B-9397-08002B2CF9AE}" pid="77" name="FSC#EVDCFG@15.1400:UserInCharge">
    <vt:lpwstr/>
  </property>
  <property fmtid="{D5CDD505-2E9C-101B-9397-08002B2CF9AE}" pid="78" name="FSC#EVDCFG@15.1400:FileRespOrgShortname">
    <vt:lpwstr>SECO-PAAM</vt:lpwstr>
  </property>
  <property fmtid="{D5CDD505-2E9C-101B-9397-08002B2CF9AE}" pid="79" name="FSC#EVDCFG@15.1400:ActualVersionNumber">
    <vt:lpwstr>1</vt:lpwstr>
  </property>
  <property fmtid="{D5CDD505-2E9C-101B-9397-08002B2CF9AE}" pid="80" name="FSC#EVDCFG@15.1400:ActualVersionCreatedAt">
    <vt:lpwstr>2020-03-23T12:44:38</vt:lpwstr>
  </property>
  <property fmtid="{D5CDD505-2E9C-101B-9397-08002B2CF9AE}" pid="81" name="FSC#COOELAK@1.1001:CurrentUserRolePos">
    <vt:lpwstr>Sachbearbeiter/in</vt:lpwstr>
  </property>
  <property fmtid="{D5CDD505-2E9C-101B-9397-08002B2CF9AE}" pid="82" name="FSC#COOELAK@1.1001:CurrentUserEmail">
    <vt:lpwstr>ursula.scherrer@seco.admin.ch</vt:lpwstr>
  </property>
  <property fmtid="{D5CDD505-2E9C-101B-9397-08002B2CF9AE}" pid="83" name="FSC#EVDCFG@15.1400:ResponsibleBureau_DE">
    <vt:lpwstr>Staatssekretariat für Wirtschaft SECO</vt:lpwstr>
  </property>
  <property fmtid="{D5CDD505-2E9C-101B-9397-08002B2CF9AE}" pid="84" name="FSC#EVDCFG@15.1400:ResponsibleBureau_EN">
    <vt:lpwstr>State Secretariat for Economic Affairs SECO</vt:lpwstr>
  </property>
  <property fmtid="{D5CDD505-2E9C-101B-9397-08002B2CF9AE}" pid="85" name="FSC#EVDCFG@15.1400:ResponsibleBureau_FR">
    <vt:lpwstr>Secrétariat d'Etat à l'économie SECO</vt:lpwstr>
  </property>
  <property fmtid="{D5CDD505-2E9C-101B-9397-08002B2CF9AE}" pid="86" name="FSC#EVDCFG@15.1400:ResponsibleBureau_IT">
    <vt:lpwstr>Segreteria di Stato dell’economia SECO</vt:lpwstr>
  </property>
  <property fmtid="{D5CDD505-2E9C-101B-9397-08002B2CF9AE}" pid="87" name="FSC#EVDCFG@15.1400:UserInChargeUserTitle">
    <vt:lpwstr/>
  </property>
  <property fmtid="{D5CDD505-2E9C-101B-9397-08002B2CF9AE}" pid="88" name="FSC#EVDCFG@15.1400:UserInChargeUserName">
    <vt:lpwstr/>
  </property>
  <property fmtid="{D5CDD505-2E9C-101B-9397-08002B2CF9AE}" pid="89" name="FSC#EVDCFG@15.1400:UserInChargeUserFirstname">
    <vt:lpwstr/>
  </property>
  <property fmtid="{D5CDD505-2E9C-101B-9397-08002B2CF9AE}" pid="90" name="FSC#EVDCFG@15.1400:UserInChargeUserEnvSalutationDE">
    <vt:lpwstr/>
  </property>
  <property fmtid="{D5CDD505-2E9C-101B-9397-08002B2CF9AE}" pid="91" name="FSC#EVDCFG@15.1400:UserInChargeUserEnvSalutationEN">
    <vt:lpwstr/>
  </property>
  <property fmtid="{D5CDD505-2E9C-101B-9397-08002B2CF9AE}" pid="92" name="FSC#EVDCFG@15.1400:UserInChargeUserEnvSalutationFR">
    <vt:lpwstr/>
  </property>
  <property fmtid="{D5CDD505-2E9C-101B-9397-08002B2CF9AE}" pid="93" name="FSC#EVDCFG@15.1400:UserInChargeUserEnvSalutationIT">
    <vt:lpwstr/>
  </property>
  <property fmtid="{D5CDD505-2E9C-101B-9397-08002B2CF9AE}" pid="94" name="FSC#EVDCFG@15.1400:FilerespUserPersonTitle">
    <vt:lpwstr/>
  </property>
  <property fmtid="{D5CDD505-2E9C-101B-9397-08002B2CF9AE}" pid="95" name="FSC#EVDCFG@15.1400:Address">
    <vt:lpwstr/>
  </property>
  <property fmtid="{D5CDD505-2E9C-101B-9397-08002B2CF9AE}" pid="96" name="FSC#EVDCFG@15.1400:DocumentID">
    <vt:lpwstr/>
  </property>
  <property fmtid="{D5CDD505-2E9C-101B-9397-08002B2CF9AE}" pid="97" name="FSC#EVDCFG@15.1400:DossierBarCode">
    <vt:lpwstr/>
  </property>
  <property fmtid="{D5CDD505-2E9C-101B-9397-08002B2CF9AE}" pid="98" name="FSC#EVDCFG@15.1400:ResponsibleEditorFirstname">
    <vt:lpwstr/>
  </property>
  <property fmtid="{D5CDD505-2E9C-101B-9397-08002B2CF9AE}" pid="99" name="FSC#EVDCFG@15.1400:ResponsibleEditorSurname">
    <vt:lpwstr/>
  </property>
  <property fmtid="{D5CDD505-2E9C-101B-9397-08002B2CF9AE}" pid="100" name="FSC#EVDCFG@15.1400:GroupTitle">
    <vt:lpwstr>Arbeitsmarktaufsicht</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+41 (31) 311 38 35</vt:lpwstr>
  </property>
  <property fmtid="{D5CDD505-2E9C-101B-9397-08002B2CF9AE}" pid="105" name="FSC#ATSTATECFG@1.1001:DepartmentEmail">
    <vt:lpwstr>+41(31)3113835</vt:lpwstr>
  </property>
  <property fmtid="{D5CDD505-2E9C-101B-9397-08002B2CF9AE}" pid="106" name="FSC#ATSTATECFG@1.1001:SubfileDate">
    <vt:lpwstr/>
  </property>
  <property fmtid="{D5CDD505-2E9C-101B-9397-08002B2CF9AE}" pid="107" name="FSC#ATSTATECFG@1.1001:SubfileSubject">
    <vt:lpwstr>Esempio di calcolo per il confronto internazionale dei salari_i</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621.161-00004/00001</vt:lpwstr>
  </property>
  <property fmtid="{D5CDD505-2E9C-101B-9397-08002B2CF9AE}" pid="115" name="FSC#ATSTATECFG@1.1001:Clause">
    <vt:lpwstr/>
  </property>
  <property fmtid="{D5CDD505-2E9C-101B-9397-08002B2CF9AE}" pid="116" name="FSC#ATSTATECFG@1.1001:ApprovedSignature">
    <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FSCFOLIO@1.1001:docpropproject">
    <vt:lpwstr/>
  </property>
</Properties>
</file>